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.spaventa\Desktop\MARKETING\2025\"/>
    </mc:Choice>
  </mc:AlternateContent>
  <xr:revisionPtr revIDLastSave="0" documentId="8_{E726A569-B15B-4754-BADD-BFAF63C6E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mulatore (Listino)" sheetId="1" r:id="rId1"/>
  </sheets>
  <definedNames>
    <definedName name="_xlnm.Print_Area" localSheetId="0">'simulatore (Listino)'!$B$2:$G$16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3" i="1" l="1"/>
  <c r="D253" i="1"/>
  <c r="E253" i="1" s="1"/>
  <c r="D279" i="1"/>
  <c r="K41" i="1"/>
  <c r="F41" i="1"/>
  <c r="D41" i="1"/>
  <c r="E41" i="1" s="1"/>
  <c r="K40" i="1"/>
  <c r="F40" i="1"/>
  <c r="D40" i="1"/>
  <c r="E40" i="1" s="1"/>
  <c r="K39" i="1"/>
  <c r="F39" i="1"/>
  <c r="D39" i="1"/>
  <c r="E39" i="1" s="1"/>
  <c r="K38" i="1"/>
  <c r="F38" i="1"/>
  <c r="D38" i="1"/>
  <c r="E38" i="1" s="1"/>
  <c r="K37" i="1"/>
  <c r="F37" i="1"/>
  <c r="D37" i="1"/>
  <c r="E37" i="1" s="1"/>
  <c r="K36" i="1"/>
  <c r="F36" i="1"/>
  <c r="D36" i="1"/>
  <c r="E36" i="1" s="1"/>
  <c r="K35" i="1"/>
  <c r="F35" i="1"/>
  <c r="D35" i="1"/>
  <c r="E35" i="1" s="1"/>
  <c r="D254" i="1"/>
  <c r="E254" i="1" s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169" i="1"/>
  <c r="D170" i="1"/>
  <c r="D168" i="1"/>
  <c r="F255" i="1"/>
  <c r="F254" i="1"/>
  <c r="G253" i="1" l="1"/>
  <c r="G38" i="1"/>
  <c r="G37" i="1"/>
  <c r="G41" i="1"/>
  <c r="G35" i="1"/>
  <c r="G39" i="1"/>
  <c r="G36" i="1"/>
  <c r="G40" i="1"/>
  <c r="G254" i="1"/>
  <c r="D255" i="1"/>
  <c r="E255" i="1" l="1"/>
  <c r="G255" i="1"/>
  <c r="D5" i="1" l="1"/>
  <c r="K85" i="1"/>
  <c r="F85" i="1"/>
  <c r="D85" i="1"/>
  <c r="E85" i="1" s="1"/>
  <c r="K84" i="1"/>
  <c r="F84" i="1"/>
  <c r="D84" i="1"/>
  <c r="E84" i="1" s="1"/>
  <c r="K83" i="1"/>
  <c r="F83" i="1"/>
  <c r="D83" i="1"/>
  <c r="E83" i="1" s="1"/>
  <c r="K82" i="1"/>
  <c r="F82" i="1"/>
  <c r="D82" i="1"/>
  <c r="E82" i="1" s="1"/>
  <c r="K81" i="1"/>
  <c r="F81" i="1"/>
  <c r="D81" i="1"/>
  <c r="E81" i="1" s="1"/>
  <c r="K80" i="1"/>
  <c r="F80" i="1"/>
  <c r="D80" i="1"/>
  <c r="E80" i="1" s="1"/>
  <c r="K78" i="1"/>
  <c r="F78" i="1"/>
  <c r="D78" i="1"/>
  <c r="E78" i="1" s="1"/>
  <c r="K79" i="1"/>
  <c r="F79" i="1"/>
  <c r="D79" i="1"/>
  <c r="E79" i="1" s="1"/>
  <c r="G81" i="1" l="1"/>
  <c r="G82" i="1"/>
  <c r="G85" i="1"/>
  <c r="G78" i="1"/>
  <c r="G83" i="1"/>
  <c r="G80" i="1"/>
  <c r="G84" i="1"/>
  <c r="G79" i="1"/>
  <c r="I11" i="1"/>
  <c r="D165" i="1" l="1"/>
  <c r="D166" i="1"/>
  <c r="D70" i="1"/>
  <c r="D73" i="1"/>
  <c r="D74" i="1"/>
  <c r="D75" i="1"/>
  <c r="D76" i="1"/>
  <c r="D77" i="1"/>
  <c r="D86" i="1"/>
  <c r="D88" i="1"/>
  <c r="D89" i="1"/>
  <c r="D90" i="1"/>
  <c r="D91" i="1"/>
  <c r="D92" i="1"/>
  <c r="D93" i="1"/>
  <c r="D94" i="1"/>
  <c r="D97" i="1"/>
  <c r="D98" i="1"/>
  <c r="D99" i="1"/>
  <c r="D100" i="1"/>
  <c r="D101" i="1"/>
  <c r="D160" i="1"/>
  <c r="D161" i="1"/>
  <c r="D162" i="1"/>
  <c r="D163" i="1"/>
  <c r="D23" i="1" s="1"/>
  <c r="D164" i="1"/>
  <c r="D87" i="1"/>
  <c r="D95" i="1"/>
  <c r="D96" i="1"/>
  <c r="D72" i="1"/>
  <c r="D71" i="1"/>
  <c r="D159" i="1"/>
  <c r="C18" i="1"/>
  <c r="F256" i="1" l="1"/>
  <c r="F252" i="1"/>
  <c r="D296" i="1"/>
  <c r="E296" i="1" s="1"/>
  <c r="C11" i="1"/>
  <c r="C13" i="1"/>
  <c r="F249" i="1"/>
  <c r="F242" i="1"/>
  <c r="F243" i="1"/>
  <c r="F244" i="1"/>
  <c r="F245" i="1"/>
  <c r="F246" i="1"/>
  <c r="D264" i="1"/>
  <c r="K129" i="1" l="1"/>
  <c r="F129" i="1"/>
  <c r="D129" i="1"/>
  <c r="E129" i="1" s="1"/>
  <c r="K128" i="1"/>
  <c r="F128" i="1"/>
  <c r="D128" i="1"/>
  <c r="E128" i="1" s="1"/>
  <c r="K127" i="1"/>
  <c r="F127" i="1"/>
  <c r="D127" i="1"/>
  <c r="K126" i="1"/>
  <c r="F126" i="1"/>
  <c r="D126" i="1"/>
  <c r="E126" i="1" s="1"/>
  <c r="K125" i="1"/>
  <c r="F125" i="1"/>
  <c r="D125" i="1"/>
  <c r="E125" i="1" s="1"/>
  <c r="K124" i="1"/>
  <c r="F124" i="1"/>
  <c r="D124" i="1"/>
  <c r="E124" i="1" s="1"/>
  <c r="K123" i="1"/>
  <c r="F123" i="1"/>
  <c r="D123" i="1"/>
  <c r="K122" i="1"/>
  <c r="F122" i="1"/>
  <c r="D122" i="1"/>
  <c r="E122" i="1" s="1"/>
  <c r="K121" i="1"/>
  <c r="F121" i="1"/>
  <c r="D121" i="1"/>
  <c r="E121" i="1" s="1"/>
  <c r="K120" i="1"/>
  <c r="F120" i="1"/>
  <c r="D120" i="1"/>
  <c r="E120" i="1" s="1"/>
  <c r="K119" i="1"/>
  <c r="F119" i="1"/>
  <c r="D119" i="1"/>
  <c r="E119" i="1" s="1"/>
  <c r="K118" i="1"/>
  <c r="F118" i="1"/>
  <c r="D118" i="1"/>
  <c r="E118" i="1" s="1"/>
  <c r="K117" i="1"/>
  <c r="F117" i="1"/>
  <c r="D117" i="1"/>
  <c r="E117" i="1" s="1"/>
  <c r="K116" i="1"/>
  <c r="F116" i="1"/>
  <c r="D116" i="1"/>
  <c r="E116" i="1" s="1"/>
  <c r="K115" i="1"/>
  <c r="F115" i="1"/>
  <c r="D115" i="1"/>
  <c r="E115" i="1" s="1"/>
  <c r="K114" i="1"/>
  <c r="F114" i="1"/>
  <c r="D114" i="1"/>
  <c r="E114" i="1" s="1"/>
  <c r="K113" i="1"/>
  <c r="F113" i="1"/>
  <c r="D113" i="1"/>
  <c r="E113" i="1" s="1"/>
  <c r="K112" i="1"/>
  <c r="F112" i="1"/>
  <c r="D112" i="1"/>
  <c r="E112" i="1" s="1"/>
  <c r="K111" i="1"/>
  <c r="F111" i="1"/>
  <c r="D111" i="1"/>
  <c r="E111" i="1" s="1"/>
  <c r="K110" i="1"/>
  <c r="F110" i="1"/>
  <c r="D110" i="1"/>
  <c r="E110" i="1" s="1"/>
  <c r="K109" i="1"/>
  <c r="F109" i="1"/>
  <c r="D109" i="1"/>
  <c r="E109" i="1" s="1"/>
  <c r="K108" i="1"/>
  <c r="F108" i="1"/>
  <c r="D108" i="1"/>
  <c r="E108" i="1" s="1"/>
  <c r="K107" i="1"/>
  <c r="F107" i="1"/>
  <c r="D107" i="1"/>
  <c r="E107" i="1" s="1"/>
  <c r="K106" i="1"/>
  <c r="F106" i="1"/>
  <c r="D106" i="1"/>
  <c r="E106" i="1" s="1"/>
  <c r="K105" i="1"/>
  <c r="F105" i="1"/>
  <c r="D105" i="1"/>
  <c r="E105" i="1" s="1"/>
  <c r="K104" i="1"/>
  <c r="F104" i="1"/>
  <c r="D104" i="1"/>
  <c r="E104" i="1" s="1"/>
  <c r="K103" i="1"/>
  <c r="F103" i="1"/>
  <c r="D103" i="1"/>
  <c r="E103" i="1" s="1"/>
  <c r="K102" i="1"/>
  <c r="F102" i="1"/>
  <c r="D102" i="1"/>
  <c r="E102" i="1" s="1"/>
  <c r="K143" i="1"/>
  <c r="F143" i="1"/>
  <c r="D143" i="1"/>
  <c r="E143" i="1" s="1"/>
  <c r="K142" i="1"/>
  <c r="F142" i="1"/>
  <c r="D142" i="1"/>
  <c r="E142" i="1" s="1"/>
  <c r="K141" i="1"/>
  <c r="F141" i="1"/>
  <c r="D141" i="1"/>
  <c r="E141" i="1" s="1"/>
  <c r="K140" i="1"/>
  <c r="F140" i="1"/>
  <c r="D140" i="1"/>
  <c r="E140" i="1" s="1"/>
  <c r="K139" i="1"/>
  <c r="F139" i="1"/>
  <c r="D139" i="1"/>
  <c r="K138" i="1"/>
  <c r="F138" i="1"/>
  <c r="D138" i="1"/>
  <c r="E138" i="1" s="1"/>
  <c r="K137" i="1"/>
  <c r="F137" i="1"/>
  <c r="D137" i="1"/>
  <c r="E137" i="1" s="1"/>
  <c r="K136" i="1"/>
  <c r="F136" i="1"/>
  <c r="D136" i="1"/>
  <c r="E136" i="1" s="1"/>
  <c r="K135" i="1"/>
  <c r="F135" i="1"/>
  <c r="D135" i="1"/>
  <c r="E135" i="1" s="1"/>
  <c r="K134" i="1"/>
  <c r="F134" i="1"/>
  <c r="D134" i="1"/>
  <c r="E134" i="1" s="1"/>
  <c r="K133" i="1"/>
  <c r="F133" i="1"/>
  <c r="D133" i="1"/>
  <c r="E133" i="1" s="1"/>
  <c r="K132" i="1"/>
  <c r="F132" i="1"/>
  <c r="D132" i="1"/>
  <c r="E132" i="1" s="1"/>
  <c r="K131" i="1"/>
  <c r="F131" i="1"/>
  <c r="D131" i="1"/>
  <c r="E131" i="1" s="1"/>
  <c r="K130" i="1"/>
  <c r="F130" i="1"/>
  <c r="D130" i="1"/>
  <c r="E130" i="1" s="1"/>
  <c r="K157" i="1"/>
  <c r="F157" i="1"/>
  <c r="D157" i="1"/>
  <c r="E157" i="1" s="1"/>
  <c r="K156" i="1"/>
  <c r="F156" i="1"/>
  <c r="D156" i="1"/>
  <c r="E156" i="1" s="1"/>
  <c r="K155" i="1"/>
  <c r="F155" i="1"/>
  <c r="D155" i="1"/>
  <c r="K154" i="1"/>
  <c r="F154" i="1"/>
  <c r="D154" i="1"/>
  <c r="E154" i="1" s="1"/>
  <c r="K153" i="1"/>
  <c r="F153" i="1"/>
  <c r="D153" i="1"/>
  <c r="K152" i="1"/>
  <c r="F152" i="1"/>
  <c r="D152" i="1"/>
  <c r="E152" i="1" s="1"/>
  <c r="K151" i="1"/>
  <c r="F151" i="1"/>
  <c r="D151" i="1"/>
  <c r="K150" i="1"/>
  <c r="F150" i="1"/>
  <c r="D150" i="1"/>
  <c r="E150" i="1" s="1"/>
  <c r="K149" i="1"/>
  <c r="F149" i="1"/>
  <c r="D149" i="1"/>
  <c r="E149" i="1" s="1"/>
  <c r="K148" i="1"/>
  <c r="F148" i="1"/>
  <c r="D148" i="1"/>
  <c r="K147" i="1"/>
  <c r="F147" i="1"/>
  <c r="D147" i="1"/>
  <c r="E147" i="1" s="1"/>
  <c r="K146" i="1"/>
  <c r="F146" i="1"/>
  <c r="D146" i="1"/>
  <c r="E146" i="1" s="1"/>
  <c r="K145" i="1"/>
  <c r="F145" i="1"/>
  <c r="D145" i="1"/>
  <c r="E145" i="1" s="1"/>
  <c r="K144" i="1"/>
  <c r="F144" i="1"/>
  <c r="D144" i="1"/>
  <c r="K93" i="1"/>
  <c r="F93" i="1"/>
  <c r="E93" i="1"/>
  <c r="K92" i="1"/>
  <c r="F92" i="1"/>
  <c r="K91" i="1"/>
  <c r="F91" i="1"/>
  <c r="E91" i="1"/>
  <c r="K90" i="1"/>
  <c r="F90" i="1"/>
  <c r="K89" i="1"/>
  <c r="F89" i="1"/>
  <c r="E89" i="1"/>
  <c r="K88" i="1"/>
  <c r="F88" i="1"/>
  <c r="K87" i="1"/>
  <c r="F87" i="1"/>
  <c r="E87" i="1"/>
  <c r="K86" i="1"/>
  <c r="F86" i="1"/>
  <c r="K62" i="1"/>
  <c r="F62" i="1"/>
  <c r="D62" i="1"/>
  <c r="E62" i="1" s="1"/>
  <c r="K61" i="1"/>
  <c r="F61" i="1"/>
  <c r="D61" i="1"/>
  <c r="K60" i="1"/>
  <c r="F60" i="1"/>
  <c r="D60" i="1"/>
  <c r="E60" i="1" s="1"/>
  <c r="K59" i="1"/>
  <c r="F59" i="1"/>
  <c r="D59" i="1"/>
  <c r="E59" i="1" s="1"/>
  <c r="K58" i="1"/>
  <c r="F58" i="1"/>
  <c r="D58" i="1"/>
  <c r="E58" i="1" s="1"/>
  <c r="K57" i="1"/>
  <c r="F57" i="1"/>
  <c r="D57" i="1"/>
  <c r="K56" i="1"/>
  <c r="F56" i="1"/>
  <c r="D56" i="1"/>
  <c r="K48" i="1"/>
  <c r="F48" i="1"/>
  <c r="D48" i="1"/>
  <c r="E48" i="1" s="1"/>
  <c r="K47" i="1"/>
  <c r="F47" i="1"/>
  <c r="D47" i="1"/>
  <c r="E47" i="1" s="1"/>
  <c r="K46" i="1"/>
  <c r="F46" i="1"/>
  <c r="D46" i="1"/>
  <c r="E46" i="1" s="1"/>
  <c r="K45" i="1"/>
  <c r="F45" i="1"/>
  <c r="D45" i="1"/>
  <c r="E45" i="1" s="1"/>
  <c r="K44" i="1"/>
  <c r="F44" i="1"/>
  <c r="D44" i="1"/>
  <c r="E44" i="1" s="1"/>
  <c r="K43" i="1"/>
  <c r="F43" i="1"/>
  <c r="D43" i="1"/>
  <c r="E43" i="1" s="1"/>
  <c r="K42" i="1"/>
  <c r="F42" i="1"/>
  <c r="D42" i="1"/>
  <c r="E42" i="1" s="1"/>
  <c r="D69" i="1"/>
  <c r="D68" i="1"/>
  <c r="D67" i="1"/>
  <c r="D66" i="1"/>
  <c r="D65" i="1"/>
  <c r="D64" i="1"/>
  <c r="D63" i="1"/>
  <c r="D55" i="1"/>
  <c r="D54" i="1"/>
  <c r="D53" i="1"/>
  <c r="D52" i="1"/>
  <c r="D51" i="1"/>
  <c r="D50" i="1"/>
  <c r="D49" i="1"/>
  <c r="D34" i="1"/>
  <c r="D33" i="1"/>
  <c r="D32" i="1"/>
  <c r="D31" i="1"/>
  <c r="D30" i="1"/>
  <c r="D29" i="1"/>
  <c r="D28" i="1"/>
  <c r="D11" i="1" l="1"/>
  <c r="G120" i="1"/>
  <c r="G123" i="1"/>
  <c r="G139" i="1"/>
  <c r="G134" i="1"/>
  <c r="G112" i="1"/>
  <c r="G128" i="1"/>
  <c r="G107" i="1"/>
  <c r="G129" i="1"/>
  <c r="G124" i="1"/>
  <c r="G111" i="1"/>
  <c r="G106" i="1"/>
  <c r="G130" i="1"/>
  <c r="G133" i="1"/>
  <c r="G116" i="1"/>
  <c r="G138" i="1"/>
  <c r="G117" i="1"/>
  <c r="G56" i="1"/>
  <c r="G90" i="1"/>
  <c r="G135" i="1"/>
  <c r="G86" i="1"/>
  <c r="G131" i="1"/>
  <c r="G61" i="1"/>
  <c r="G48" i="1"/>
  <c r="G44" i="1"/>
  <c r="G46" i="1"/>
  <c r="G42" i="1"/>
  <c r="G62" i="1"/>
  <c r="G58" i="1"/>
  <c r="G57" i="1"/>
  <c r="G157" i="1"/>
  <c r="G60" i="1"/>
  <c r="G155" i="1"/>
  <c r="G43" i="1"/>
  <c r="E86" i="1"/>
  <c r="E155" i="1"/>
  <c r="G142" i="1"/>
  <c r="G110" i="1"/>
  <c r="G59" i="1"/>
  <c r="G153" i="1"/>
  <c r="G148" i="1"/>
  <c r="G108" i="1"/>
  <c r="G92" i="1"/>
  <c r="G151" i="1"/>
  <c r="G127" i="1"/>
  <c r="E90" i="1"/>
  <c r="E139" i="1"/>
  <c r="G141" i="1"/>
  <c r="G47" i="1"/>
  <c r="G88" i="1"/>
  <c r="G144" i="1"/>
  <c r="G121" i="1"/>
  <c r="G122" i="1"/>
  <c r="G118" i="1"/>
  <c r="G119" i="1"/>
  <c r="G103" i="1"/>
  <c r="G104" i="1"/>
  <c r="G105" i="1"/>
  <c r="G102" i="1"/>
  <c r="G113" i="1"/>
  <c r="G114" i="1"/>
  <c r="G115" i="1"/>
  <c r="G109" i="1"/>
  <c r="G125" i="1"/>
  <c r="G126" i="1"/>
  <c r="G143" i="1"/>
  <c r="G137" i="1"/>
  <c r="E123" i="1"/>
  <c r="E127" i="1"/>
  <c r="E153" i="1"/>
  <c r="G132" i="1"/>
  <c r="G136" i="1"/>
  <c r="G140" i="1"/>
  <c r="G154" i="1"/>
  <c r="E151" i="1"/>
  <c r="G152" i="1"/>
  <c r="G156" i="1"/>
  <c r="G146" i="1"/>
  <c r="G147" i="1"/>
  <c r="G150" i="1"/>
  <c r="E144" i="1"/>
  <c r="E148" i="1"/>
  <c r="G145" i="1"/>
  <c r="G149" i="1"/>
  <c r="G87" i="1"/>
  <c r="G91" i="1"/>
  <c r="E88" i="1"/>
  <c r="E92" i="1"/>
  <c r="G89" i="1"/>
  <c r="G93" i="1"/>
  <c r="E56" i="1"/>
  <c r="E57" i="1"/>
  <c r="E61" i="1"/>
  <c r="G45" i="1"/>
  <c r="K160" i="1" l="1"/>
  <c r="K161" i="1"/>
  <c r="K162" i="1"/>
  <c r="K163" i="1"/>
  <c r="K164" i="1"/>
  <c r="K165" i="1"/>
  <c r="K166" i="1"/>
  <c r="K159" i="1"/>
  <c r="K94" i="1"/>
  <c r="K95" i="1"/>
  <c r="K96" i="1"/>
  <c r="K97" i="1"/>
  <c r="K98" i="1"/>
  <c r="K99" i="1"/>
  <c r="K100" i="1"/>
  <c r="K101" i="1"/>
  <c r="K71" i="1"/>
  <c r="K72" i="1"/>
  <c r="K73" i="1"/>
  <c r="K74" i="1"/>
  <c r="K75" i="1"/>
  <c r="K76" i="1"/>
  <c r="K77" i="1"/>
  <c r="K70" i="1"/>
  <c r="K64" i="1"/>
  <c r="K65" i="1"/>
  <c r="K66" i="1"/>
  <c r="K67" i="1"/>
  <c r="K68" i="1"/>
  <c r="K69" i="1"/>
  <c r="K63" i="1"/>
  <c r="K50" i="1"/>
  <c r="K51" i="1"/>
  <c r="K52" i="1"/>
  <c r="K53" i="1"/>
  <c r="K54" i="1"/>
  <c r="K55" i="1"/>
  <c r="K49" i="1"/>
  <c r="K29" i="1"/>
  <c r="K30" i="1"/>
  <c r="K31" i="1"/>
  <c r="K32" i="1"/>
  <c r="K33" i="1"/>
  <c r="K34" i="1"/>
  <c r="K28" i="1"/>
  <c r="O11" i="1" l="1"/>
  <c r="D297" i="1"/>
  <c r="E297" i="1" s="1"/>
  <c r="D295" i="1"/>
  <c r="E295" i="1" s="1"/>
  <c r="D294" i="1"/>
  <c r="E294" i="1" s="1"/>
  <c r="D293" i="1"/>
  <c r="E293" i="1" s="1"/>
  <c r="D292" i="1"/>
  <c r="E292" i="1" s="1"/>
  <c r="D291" i="1"/>
  <c r="E291" i="1" s="1"/>
  <c r="D290" i="1"/>
  <c r="E290" i="1" s="1"/>
  <c r="D289" i="1"/>
  <c r="E289" i="1" s="1"/>
  <c r="D288" i="1"/>
  <c r="E288" i="1" s="1"/>
  <c r="D287" i="1"/>
  <c r="E287" i="1" s="1"/>
  <c r="D286" i="1"/>
  <c r="E286" i="1" s="1"/>
  <c r="D285" i="1"/>
  <c r="E285" i="1" s="1"/>
  <c r="D284" i="1"/>
  <c r="E284" i="1" s="1"/>
  <c r="D283" i="1"/>
  <c r="E283" i="1" s="1"/>
  <c r="D282" i="1"/>
  <c r="E282" i="1" s="1"/>
  <c r="D281" i="1"/>
  <c r="E281" i="1" s="1"/>
  <c r="D280" i="1"/>
  <c r="E280" i="1" s="1"/>
  <c r="E279" i="1"/>
  <c r="D278" i="1"/>
  <c r="E278" i="1" s="1"/>
  <c r="D277" i="1"/>
  <c r="E277" i="1" s="1"/>
  <c r="D276" i="1"/>
  <c r="E276" i="1" s="1"/>
  <c r="D275" i="1"/>
  <c r="E275" i="1" s="1"/>
  <c r="F268" i="1"/>
  <c r="G268" i="1" s="1"/>
  <c r="E268" i="1"/>
  <c r="F267" i="1"/>
  <c r="G267" i="1" s="1"/>
  <c r="E267" i="1"/>
  <c r="F266" i="1"/>
  <c r="J266" i="1" s="1"/>
  <c r="E266" i="1"/>
  <c r="E7" i="1" s="1"/>
  <c r="K7" i="1" s="1"/>
  <c r="F264" i="1"/>
  <c r="J264" i="1" s="1"/>
  <c r="E264" i="1"/>
  <c r="F263" i="1"/>
  <c r="J263" i="1" s="1"/>
  <c r="E263" i="1"/>
  <c r="E6" i="1" s="1"/>
  <c r="K6" i="1" s="1"/>
  <c r="F261" i="1"/>
  <c r="G261" i="1" s="1"/>
  <c r="E261" i="1"/>
  <c r="F260" i="1"/>
  <c r="J260" i="1" s="1"/>
  <c r="E260" i="1"/>
  <c r="F259" i="1"/>
  <c r="J259" i="1" s="1"/>
  <c r="E259" i="1"/>
  <c r="F258" i="1"/>
  <c r="G258" i="1" s="1"/>
  <c r="E258" i="1"/>
  <c r="F12" i="1"/>
  <c r="F250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G166" i="1"/>
  <c r="E166" i="1"/>
  <c r="G165" i="1"/>
  <c r="E165" i="1"/>
  <c r="G164" i="1"/>
  <c r="E163" i="1"/>
  <c r="G163" i="1"/>
  <c r="G162" i="1"/>
  <c r="E162" i="1"/>
  <c r="G161" i="1"/>
  <c r="E161" i="1"/>
  <c r="G160" i="1"/>
  <c r="E159" i="1"/>
  <c r="G159" i="1"/>
  <c r="F101" i="1"/>
  <c r="G101" i="1" s="1"/>
  <c r="E101" i="1"/>
  <c r="F100" i="1"/>
  <c r="G100" i="1" s="1"/>
  <c r="E100" i="1"/>
  <c r="F99" i="1"/>
  <c r="G99" i="1" s="1"/>
  <c r="E99" i="1"/>
  <c r="F98" i="1"/>
  <c r="G98" i="1" s="1"/>
  <c r="E98" i="1"/>
  <c r="F97" i="1"/>
  <c r="G97" i="1" s="1"/>
  <c r="E97" i="1"/>
  <c r="F96" i="1"/>
  <c r="G96" i="1" s="1"/>
  <c r="E96" i="1"/>
  <c r="F95" i="1"/>
  <c r="G95" i="1" s="1"/>
  <c r="E95" i="1"/>
  <c r="F94" i="1"/>
  <c r="G94" i="1" s="1"/>
  <c r="E94" i="1"/>
  <c r="F77" i="1"/>
  <c r="G77" i="1" s="1"/>
  <c r="E77" i="1"/>
  <c r="F76" i="1"/>
  <c r="G76" i="1" s="1"/>
  <c r="E76" i="1"/>
  <c r="F75" i="1"/>
  <c r="G75" i="1" s="1"/>
  <c r="E75" i="1"/>
  <c r="F74" i="1"/>
  <c r="G74" i="1" s="1"/>
  <c r="E74" i="1"/>
  <c r="F73" i="1"/>
  <c r="G73" i="1" s="1"/>
  <c r="E73" i="1"/>
  <c r="F72" i="1"/>
  <c r="G72" i="1" s="1"/>
  <c r="E72" i="1"/>
  <c r="F71" i="1"/>
  <c r="G71" i="1" s="1"/>
  <c r="E71" i="1"/>
  <c r="F70" i="1"/>
  <c r="G70" i="1" s="1"/>
  <c r="E70" i="1"/>
  <c r="F69" i="1"/>
  <c r="G69" i="1" s="1"/>
  <c r="E69" i="1"/>
  <c r="F68" i="1"/>
  <c r="G68" i="1" s="1"/>
  <c r="E68" i="1"/>
  <c r="F67" i="1"/>
  <c r="G67" i="1" s="1"/>
  <c r="E67" i="1"/>
  <c r="F66" i="1"/>
  <c r="G66" i="1" s="1"/>
  <c r="E66" i="1"/>
  <c r="F65" i="1"/>
  <c r="G65" i="1" s="1"/>
  <c r="E65" i="1"/>
  <c r="F64" i="1"/>
  <c r="G64" i="1" s="1"/>
  <c r="E64" i="1"/>
  <c r="F63" i="1"/>
  <c r="G63" i="1" s="1"/>
  <c r="E63" i="1"/>
  <c r="F55" i="1"/>
  <c r="G55" i="1" s="1"/>
  <c r="E55" i="1"/>
  <c r="F54" i="1"/>
  <c r="G54" i="1" s="1"/>
  <c r="E54" i="1"/>
  <c r="F53" i="1"/>
  <c r="G53" i="1" s="1"/>
  <c r="E53" i="1"/>
  <c r="F52" i="1"/>
  <c r="G52" i="1" s="1"/>
  <c r="E52" i="1"/>
  <c r="F51" i="1"/>
  <c r="G51" i="1" s="1"/>
  <c r="E51" i="1"/>
  <c r="F50" i="1"/>
  <c r="G50" i="1" s="1"/>
  <c r="E50" i="1"/>
  <c r="F49" i="1"/>
  <c r="G49" i="1" s="1"/>
  <c r="E49" i="1"/>
  <c r="F34" i="1"/>
  <c r="G34" i="1" s="1"/>
  <c r="E34" i="1"/>
  <c r="F33" i="1"/>
  <c r="G33" i="1" s="1"/>
  <c r="E33" i="1"/>
  <c r="F32" i="1"/>
  <c r="E32" i="1"/>
  <c r="F31" i="1"/>
  <c r="G31" i="1" s="1"/>
  <c r="E31" i="1"/>
  <c r="F30" i="1"/>
  <c r="G30" i="1" s="1"/>
  <c r="E30" i="1"/>
  <c r="F29" i="1"/>
  <c r="G29" i="1" s="1"/>
  <c r="E29" i="1"/>
  <c r="F28" i="1"/>
  <c r="G28" i="1" s="1"/>
  <c r="E28" i="1"/>
  <c r="F23" i="1"/>
  <c r="P23" i="1" s="1"/>
  <c r="D19" i="1"/>
  <c r="P19" i="1"/>
  <c r="R19" i="1" s="1"/>
  <c r="O14" i="1"/>
  <c r="C14" i="1"/>
  <c r="C12" i="1"/>
  <c r="D7" i="1"/>
  <c r="J7" i="1" s="1"/>
  <c r="C7" i="1"/>
  <c r="D6" i="1"/>
  <c r="J6" i="1" s="1"/>
  <c r="C6" i="1"/>
  <c r="J5" i="1"/>
  <c r="C5" i="1"/>
  <c r="E5" i="1" l="1"/>
  <c r="K5" i="1" s="1"/>
  <c r="K8" i="1" s="1"/>
  <c r="E11" i="1"/>
  <c r="K11" i="1" s="1"/>
  <c r="G32" i="1"/>
  <c r="G11" i="1" s="1"/>
  <c r="F11" i="1"/>
  <c r="F13" i="1"/>
  <c r="G23" i="1"/>
  <c r="L23" i="1" s="1"/>
  <c r="M23" i="1" s="1"/>
  <c r="J11" i="1"/>
  <c r="J258" i="1"/>
  <c r="F5" i="1"/>
  <c r="O5" i="1" s="1"/>
  <c r="F6" i="1"/>
  <c r="O6" i="1" s="1"/>
  <c r="G260" i="1"/>
  <c r="G5" i="1" s="1"/>
  <c r="L5" i="1" s="1"/>
  <c r="G263" i="1"/>
  <c r="F14" i="1"/>
  <c r="P14" i="1" s="1"/>
  <c r="F7" i="1"/>
  <c r="O7" i="1" s="1"/>
  <c r="E18" i="1"/>
  <c r="G266" i="1"/>
  <c r="G7" i="1" s="1"/>
  <c r="L7" i="1" s="1"/>
  <c r="E160" i="1"/>
  <c r="E164" i="1"/>
  <c r="E23" i="1" s="1"/>
  <c r="K23" i="1" s="1"/>
  <c r="G259" i="1"/>
  <c r="G264" i="1"/>
  <c r="J268" i="1"/>
  <c r="J261" i="1"/>
  <c r="J267" i="1"/>
  <c r="J23" i="1"/>
  <c r="O23" i="1" s="1"/>
  <c r="F19" i="1" l="1"/>
  <c r="G19" i="1" s="1"/>
  <c r="L11" i="1"/>
  <c r="G18" i="1"/>
  <c r="L18" i="1" s="1"/>
  <c r="E8" i="1"/>
  <c r="G6" i="1"/>
  <c r="L6" i="1" s="1"/>
  <c r="L8" i="1" s="1"/>
  <c r="Q23" i="1"/>
  <c r="R23" i="1" s="1"/>
  <c r="Q19" i="1"/>
  <c r="F17" i="1" s="1"/>
  <c r="L19" i="1"/>
  <c r="P11" i="1"/>
  <c r="O8" i="1"/>
  <c r="F9" i="1" s="1"/>
  <c r="L20" i="1" l="1"/>
  <c r="M20" i="1" s="1"/>
  <c r="G8" i="1"/>
  <c r="G20" i="1"/>
  <c r="H20" i="1" s="1"/>
  <c r="Q11" i="1"/>
  <c r="M8" i="1"/>
  <c r="R11" i="1" l="1"/>
  <c r="S11" i="1"/>
  <c r="O13" i="1" l="1"/>
  <c r="P13" i="1" s="1"/>
  <c r="E176" i="1" l="1"/>
  <c r="G176" i="1"/>
  <c r="G177" i="1"/>
  <c r="E177" i="1"/>
  <c r="G174" i="1"/>
  <c r="E174" i="1"/>
  <c r="E178" i="1"/>
  <c r="G178" i="1"/>
  <c r="E175" i="1" l="1"/>
  <c r="G175" i="1"/>
  <c r="E179" i="1"/>
  <c r="G179" i="1"/>
  <c r="D13" i="1" l="1"/>
  <c r="J13" i="1" s="1"/>
  <c r="E181" i="1" l="1"/>
  <c r="G181" i="1"/>
  <c r="G171" i="1"/>
  <c r="E171" i="1"/>
  <c r="G235" i="1"/>
  <c r="E235" i="1"/>
  <c r="G169" i="1"/>
  <c r="E169" i="1"/>
  <c r="G208" i="1"/>
  <c r="E208" i="1"/>
  <c r="G204" i="1"/>
  <c r="E204" i="1"/>
  <c r="G200" i="1"/>
  <c r="E200" i="1"/>
  <c r="G172" i="1"/>
  <c r="E172" i="1"/>
  <c r="E216" i="1"/>
  <c r="G216" i="1"/>
  <c r="G240" i="1"/>
  <c r="E240" i="1"/>
  <c r="G236" i="1"/>
  <c r="E236" i="1"/>
  <c r="G232" i="1"/>
  <c r="E232" i="1"/>
  <c r="E218" i="1"/>
  <c r="G218" i="1"/>
  <c r="G180" i="1"/>
  <c r="E180" i="1"/>
  <c r="E207" i="1"/>
  <c r="G207" i="1"/>
  <c r="E215" i="1"/>
  <c r="G215" i="1"/>
  <c r="E221" i="1"/>
  <c r="G221" i="1"/>
  <c r="E211" i="1"/>
  <c r="G211" i="1"/>
  <c r="E209" i="1"/>
  <c r="G209" i="1"/>
  <c r="G205" i="1"/>
  <c r="E205" i="1"/>
  <c r="E201" i="1"/>
  <c r="G201" i="1"/>
  <c r="G173" i="1"/>
  <c r="E173" i="1"/>
  <c r="E213" i="1"/>
  <c r="G213" i="1"/>
  <c r="E241" i="1"/>
  <c r="G241" i="1"/>
  <c r="E237" i="1"/>
  <c r="G237" i="1"/>
  <c r="E233" i="1"/>
  <c r="G233" i="1"/>
  <c r="E219" i="1"/>
  <c r="G219" i="1"/>
  <c r="E203" i="1"/>
  <c r="G203" i="1"/>
  <c r="G239" i="1"/>
  <c r="E239" i="1"/>
  <c r="E217" i="1"/>
  <c r="G217" i="1"/>
  <c r="E212" i="1"/>
  <c r="G212" i="1"/>
  <c r="E210" i="1"/>
  <c r="G210" i="1"/>
  <c r="G206" i="1"/>
  <c r="E206" i="1"/>
  <c r="E202" i="1"/>
  <c r="G202" i="1"/>
  <c r="G170" i="1"/>
  <c r="E170" i="1"/>
  <c r="E214" i="1"/>
  <c r="G214" i="1"/>
  <c r="G238" i="1"/>
  <c r="E238" i="1"/>
  <c r="G234" i="1"/>
  <c r="E234" i="1"/>
  <c r="E220" i="1"/>
  <c r="G220" i="1"/>
  <c r="D250" i="1"/>
  <c r="D249" i="1"/>
  <c r="D14" i="1" s="1"/>
  <c r="J14" i="1" s="1"/>
  <c r="E13" i="1" l="1"/>
  <c r="K13" i="1" s="1"/>
  <c r="G13" i="1"/>
  <c r="L13" i="1" s="1"/>
  <c r="Q13" i="1" s="1"/>
  <c r="R13" i="1" s="1"/>
  <c r="G225" i="1"/>
  <c r="E225" i="1"/>
  <c r="E196" i="1"/>
  <c r="G196" i="1"/>
  <c r="E182" i="1"/>
  <c r="G182" i="1"/>
  <c r="E222" i="1"/>
  <c r="G222" i="1"/>
  <c r="E168" i="1"/>
  <c r="G168" i="1"/>
  <c r="E198" i="1"/>
  <c r="G198" i="1"/>
  <c r="G188" i="1"/>
  <c r="E188" i="1"/>
  <c r="E249" i="1"/>
  <c r="E14" i="1" s="1"/>
  <c r="K14" i="1" s="1"/>
  <c r="G249" i="1"/>
  <c r="G14" i="1" s="1"/>
  <c r="L14" i="1" s="1"/>
  <c r="Q14" i="1" s="1"/>
  <c r="R14" i="1" s="1"/>
  <c r="G192" i="1"/>
  <c r="E192" i="1"/>
  <c r="E231" i="1"/>
  <c r="G231" i="1"/>
  <c r="G199" i="1"/>
  <c r="E199" i="1"/>
  <c r="E185" i="1"/>
  <c r="G185" i="1"/>
  <c r="G186" i="1"/>
  <c r="E186" i="1"/>
  <c r="E228" i="1"/>
  <c r="G228" i="1"/>
  <c r="G242" i="1"/>
  <c r="E242" i="1"/>
  <c r="G194" i="1"/>
  <c r="E194" i="1"/>
  <c r="E184" i="1"/>
  <c r="G184" i="1"/>
  <c r="G189" i="1"/>
  <c r="E189" i="1"/>
  <c r="G250" i="1"/>
  <c r="E250" i="1"/>
  <c r="E227" i="1"/>
  <c r="G227" i="1"/>
  <c r="G195" i="1"/>
  <c r="E195" i="1"/>
  <c r="G230" i="1"/>
  <c r="E230" i="1"/>
  <c r="E183" i="1"/>
  <c r="G183" i="1"/>
  <c r="G193" i="1"/>
  <c r="E193" i="1"/>
  <c r="G190" i="1"/>
  <c r="E190" i="1"/>
  <c r="E229" i="1"/>
  <c r="G229" i="1"/>
  <c r="E187" i="1"/>
  <c r="G187" i="1"/>
  <c r="G197" i="1"/>
  <c r="E197" i="1"/>
  <c r="E223" i="1"/>
  <c r="G223" i="1"/>
  <c r="E191" i="1"/>
  <c r="G191" i="1"/>
  <c r="E226" i="1"/>
  <c r="G226" i="1"/>
  <c r="G224" i="1"/>
  <c r="E224" i="1"/>
  <c r="O12" i="1" l="1"/>
  <c r="E243" i="1"/>
  <c r="G243" i="1"/>
  <c r="P12" i="1" l="1"/>
  <c r="P15" i="1" s="1"/>
  <c r="P16" i="1" s="1"/>
  <c r="O15" i="1"/>
  <c r="O16" i="1" s="1"/>
  <c r="G244" i="1"/>
  <c r="E244" i="1"/>
  <c r="D252" i="1"/>
  <c r="D256" i="1" l="1"/>
  <c r="G245" i="1"/>
  <c r="E245" i="1"/>
  <c r="E246" i="1"/>
  <c r="G246" i="1"/>
  <c r="G252" i="1"/>
  <c r="E252" i="1"/>
  <c r="D12" i="1"/>
  <c r="J12" i="1" s="1"/>
  <c r="E12" i="1" l="1"/>
  <c r="E15" i="1" s="1"/>
  <c r="E16" i="1" s="1"/>
  <c r="G12" i="1"/>
  <c r="L12" i="1" s="1"/>
  <c r="G256" i="1"/>
  <c r="E256" i="1"/>
  <c r="K12" i="1" l="1"/>
  <c r="K15" i="1" s="1"/>
  <c r="K16" i="1" s="1"/>
  <c r="G15" i="1"/>
  <c r="G16" i="1" s="1"/>
  <c r="H16" i="1" s="1"/>
  <c r="H21" i="1" s="1"/>
  <c r="Q12" i="1"/>
  <c r="L15" i="1"/>
  <c r="H15" i="1" l="1"/>
  <c r="R12" i="1"/>
  <c r="Q15" i="1"/>
  <c r="L16" i="1"/>
  <c r="M15" i="1"/>
  <c r="Q16" i="1" l="1"/>
  <c r="R16" i="1" s="1"/>
  <c r="R15" i="1"/>
  <c r="M16" i="1"/>
  <c r="M21" i="1" s="1"/>
  <c r="M24" i="1" s="1"/>
  <c r="L21" i="1"/>
</calcChain>
</file>

<file path=xl/sharedStrings.xml><?xml version="1.0" encoding="utf-8"?>
<sst xmlns="http://schemas.openxmlformats.org/spreadsheetml/2006/main" count="711" uniqueCount="431">
  <si>
    <t>CICLO TERMOCOATHEX - DI DONATO SPA</t>
  </si>
  <si>
    <t>MQ:</t>
  </si>
  <si>
    <t>Sconto</t>
  </si>
  <si>
    <t>PRODOTTI</t>
  </si>
  <si>
    <t>Formato</t>
  </si>
  <si>
    <t>LISTINO</t>
  </si>
  <si>
    <t>€/MQ</t>
  </si>
  <si>
    <t>Q.tà</t>
  </si>
  <si>
    <t>Valore</t>
  </si>
  <si>
    <t>Ped</t>
  </si>
  <si>
    <t>NETTO</t>
  </si>
  <si>
    <t>RasHEX TERMOCOATHEX KG.25 GRIGIO su EPS</t>
  </si>
  <si>
    <t>TERMOCOATHEX FONDO ACRIL-SILOSS.</t>
  </si>
  <si>
    <t>TERMOCOATHEX RIVEST. ACRIL-SILOSS. ANTIALGA</t>
  </si>
  <si>
    <t>Totale Ciclo senza Commercializzato</t>
  </si>
  <si>
    <t>Totale Ciclo Commercializzato</t>
  </si>
  <si>
    <t>Totale Valore Ciclo con Pannello e Tasselli</t>
  </si>
  <si>
    <t>Totale Trasporto</t>
  </si>
  <si>
    <t>Indicare Pannello e MQ per Zoccolatura - Base di Partenza</t>
  </si>
  <si>
    <t>MQ</t>
  </si>
  <si>
    <t>PANNELLO ZOCCOLATURA - BASE PARTENZA    CM 10</t>
  </si>
  <si>
    <t>DESCRIZIONE</t>
  </si>
  <si>
    <t>INC. MQ</t>
  </si>
  <si>
    <t>Ordine</t>
  </si>
  <si>
    <t>€ / pz</t>
  </si>
  <si>
    <t>cm</t>
  </si>
  <si>
    <t>pannello</t>
  </si>
  <si>
    <t>0,5 mq</t>
  </si>
  <si>
    <t>FORTLAN- DIBI</t>
  </si>
  <si>
    <t xml:space="preserve">Pannello EPS Bianco lambda 0,035 densità 100 trazione 150 </t>
  </si>
  <si>
    <t>POLIHEX ROCK CAM NC1 CON APPRETTO 034   CM 4</t>
  </si>
  <si>
    <t>0,6 mq</t>
  </si>
  <si>
    <t>POLIHEX ROCK CAM NC1 CON APPRETTO 034   CM 5</t>
  </si>
  <si>
    <t>POLIHEX ROCK CAM NC1 CON APPRETTO 034   CM 6</t>
  </si>
  <si>
    <t>POLIHEX ROCK CAM NC1 CON APPRETTO 034   CM 8</t>
  </si>
  <si>
    <t>POLIHEX ROCK CAM NC1 CON APPRETTO 034   CM 10</t>
  </si>
  <si>
    <t>POLIHEX ROCK CAM NC1 CON APPRETTO 034   CM 12</t>
  </si>
  <si>
    <t>POLIHEX ROCK CAM NC1 CON APPRETTO 034   CM 14</t>
  </si>
  <si>
    <t>POLIHEX ROCK CAM NC1 CON APPRETTO 034   CM 16</t>
  </si>
  <si>
    <t>PANNELLO ZOCCOLATURA - BASE PARTENZA    CM 4</t>
  </si>
  <si>
    <t>• ECO GREEN DIBI FORTland</t>
  </si>
  <si>
    <t>PANNELLO ZOCCOLATURA - BASE PARTENZA    CM 5</t>
  </si>
  <si>
    <t>PANNELLO ZOCCOLATURA - BASE PARTENZA    CM 6</t>
  </si>
  <si>
    <t>PANNELLO ZOCCOLATURA - BASE PARTENZA    CM 8</t>
  </si>
  <si>
    <t>PANNELLO ZOCCOLATURA - BASE PARTENZA    CM 12</t>
  </si>
  <si>
    <t>PANNELLO ZOCCOLATURA - BASE PARTENZA    CM 14</t>
  </si>
  <si>
    <t>PANNELLO ZOCCOLATURA - BASE PARTENZA    CM 16</t>
  </si>
  <si>
    <t>CM 9,5</t>
  </si>
  <si>
    <t>CM 11,5</t>
  </si>
  <si>
    <t>CM 13,5</t>
  </si>
  <si>
    <t>CM 15,5</t>
  </si>
  <si>
    <t>CM 17,5</t>
  </si>
  <si>
    <t>CM 19,5</t>
  </si>
  <si>
    <t>CM 21.5</t>
  </si>
  <si>
    <t>CM 23,5</t>
  </si>
  <si>
    <t>CM 25,5</t>
  </si>
  <si>
    <t>CM 27,5</t>
  </si>
  <si>
    <t>CM 29,5</t>
  </si>
  <si>
    <t>CM 15</t>
  </si>
  <si>
    <t>CM 17</t>
  </si>
  <si>
    <t>CM 19</t>
  </si>
  <si>
    <t>CM 21</t>
  </si>
  <si>
    <t>CM 23</t>
  </si>
  <si>
    <t>CM 25</t>
  </si>
  <si>
    <t>CM 27</t>
  </si>
  <si>
    <t>CM 29</t>
  </si>
  <si>
    <t>CM 31</t>
  </si>
  <si>
    <t>CM 33</t>
  </si>
  <si>
    <t>CM 35</t>
  </si>
  <si>
    <t>MQ 50</t>
  </si>
  <si>
    <t>PESO</t>
  </si>
  <si>
    <t>KG 25</t>
  </si>
  <si>
    <t>RasHEX TERMOCOATHEX KG.25 GRIGIO su LANA DI ROCCIA</t>
  </si>
  <si>
    <t>LT 14</t>
  </si>
  <si>
    <t>TERMOCOATHEX FONDO ACRIL-SILOSS. PER VERTIGO</t>
  </si>
  <si>
    <t>KG 24</t>
  </si>
  <si>
    <t>TERMOCOATHEX RIVEST. ACRILICO ANTIALGA</t>
  </si>
  <si>
    <t>VERTIGO</t>
  </si>
  <si>
    <t>Trasporto Pannello ABRUZZO</t>
  </si>
  <si>
    <t>Trasporto Pannello MOLISE</t>
  </si>
  <si>
    <t>Trasporto Pannello MARCHE</t>
  </si>
  <si>
    <t>Trasporto Pannello CAMPANIA</t>
  </si>
  <si>
    <t>Trasporto Pannello BASILICATA</t>
  </si>
  <si>
    <t xml:space="preserve">Trasporto Pannello PUGLIA </t>
  </si>
  <si>
    <t>Trasporto Pannello CALABRIA</t>
  </si>
  <si>
    <t xml:space="preserve">Trasporto Pannello SARDEGNA </t>
  </si>
  <si>
    <t>Trasporto Pannello LOMBARDIA</t>
  </si>
  <si>
    <t>Trasporto Pannello PIEMONTE</t>
  </si>
  <si>
    <t>Trasporto Pannello LIGURIA</t>
  </si>
  <si>
    <t>Trasporto Pannello VENETO</t>
  </si>
  <si>
    <t>Trasporto Pannello UMBRIA</t>
  </si>
  <si>
    <t>Trasporto Pannello TOSCANA</t>
  </si>
  <si>
    <t xml:space="preserve">Trasporto Pannello VALLE D'AOSTA </t>
  </si>
  <si>
    <t>Trasporto Pannello FRIULI VENEZIA GIULIA</t>
  </si>
  <si>
    <t>Trasporto Pannello SICILIA ORIENTALE</t>
  </si>
  <si>
    <t xml:space="preserve">Trasporto Pannello SICILIA OCCIDENTALE </t>
  </si>
  <si>
    <t>FDB</t>
  </si>
  <si>
    <t>ISK</t>
  </si>
  <si>
    <t>E/PZ</t>
  </si>
  <si>
    <t>E/MQ</t>
  </si>
  <si>
    <t>PZ</t>
  </si>
  <si>
    <t>TOT</t>
  </si>
  <si>
    <t>TOTALE</t>
  </si>
  <si>
    <t xml:space="preserve">TOTALE PEDANE </t>
  </si>
  <si>
    <t>margine</t>
  </si>
  <si>
    <t xml:space="preserve"> </t>
  </si>
  <si>
    <t>costo pz</t>
  </si>
  <si>
    <t>costo tot</t>
  </si>
  <si>
    <t>TOT. INC/MQ compreso pannello di zoccolatura</t>
  </si>
  <si>
    <t>c/a ped</t>
  </si>
  <si>
    <t>EPS</t>
  </si>
  <si>
    <t xml:space="preserve"> LDR</t>
  </si>
  <si>
    <t>MC</t>
  </si>
  <si>
    <t xml:space="preserve">c/a ped </t>
  </si>
  <si>
    <t>POLIHEX ROCK CAM FDK-N SENZA APPRETTO 034   CM 4</t>
  </si>
  <si>
    <t>POLIHEX ROCK CAM FDK-N SENZA APPRETTO 034   CM 5</t>
  </si>
  <si>
    <t>POLIHEX ROCK CAM FDK-N SENZA APPRETTO 034   CM 6</t>
  </si>
  <si>
    <t>POLIHEX ROCK CAM FDK-N SENZA APPRETTO 034   CM 8</t>
  </si>
  <si>
    <t>POLIHEX ROCK CAM FDK-N SENZA APPRETTO 034   CM 10</t>
  </si>
  <si>
    <t>POLIHEX ROCK CAM FDK-N SENZA APPRETTO 034   CM 12</t>
  </si>
  <si>
    <t>POLIHEX ROCK CAM FDK-N SENZA APPRETTO 034   CM 14</t>
  </si>
  <si>
    <t>POLIHEX ROCK CAM FDK-N SENZA APPRETTO 034   CM 16</t>
  </si>
  <si>
    <t>POLIHEX ROCK CAM FDK-S SENZA APPRETTO 035   CM 4</t>
  </si>
  <si>
    <t>POLIHEX ROCK CAM FDK-S SENZA APPRETTO 035   CM 5</t>
  </si>
  <si>
    <t>POLIHEX ROCK CAM FDK-S SENZA APPRETTO 035   CM 6</t>
  </si>
  <si>
    <t>POLIHEX ROCK CAM FDK-S SENZA APPRETTO 035   CM 8</t>
  </si>
  <si>
    <t>POLIHEX ROCK CAM FDK-S SENZA APPRETTO 035   CM 10</t>
  </si>
  <si>
    <t>POLIHEX ROCK CAM FDK-S SENZA APPRETTO 035   CM 12</t>
  </si>
  <si>
    <t>POLIHEX ROCK CAM FDK-S SENZA APPRETTO 035   CM 14</t>
  </si>
  <si>
    <t>POLIHEX ROCK CAM FDK-S SENZA APPRETTO 035   CM 16</t>
  </si>
  <si>
    <t>CM 7,5</t>
  </si>
  <si>
    <t>CM 37</t>
  </si>
  <si>
    <t>CM 39</t>
  </si>
  <si>
    <t>CM 41</t>
  </si>
  <si>
    <t>CM 43</t>
  </si>
  <si>
    <t>RONDELLA VT 90 (EJ)</t>
  </si>
  <si>
    <t>RONDELLA THERM VT 2G (EJ)</t>
  </si>
  <si>
    <t>SENZA RONDELLA</t>
  </si>
  <si>
    <t>RasHEX K8 GRUND KG.25 GRIGIO su EPS</t>
  </si>
  <si>
    <t>RasHEX K8 GRUND K KG.25 GRIGIO su LANA DI ROCCIA</t>
  </si>
  <si>
    <t>Senza Pannello</t>
  </si>
  <si>
    <t>I-G ECO  DETENSIONATO -100*50*4 (IK) (K) - 0,031 GRIGIO</t>
  </si>
  <si>
    <t>I-G ECO  DETENSIONATO -100*50*5 (IK) (K12) - 0,031 GRIGIO</t>
  </si>
  <si>
    <t>I-G ECO  DETENSIONATO -100*50*6 (IK) (K10) - 0,031 GRIGIO</t>
  </si>
  <si>
    <t>I-G ECO  DETENSIONATO -100*50*8 (IK) (K7) - 0,031 GRIGIO</t>
  </si>
  <si>
    <t>I-G ECO  DETENSIONATO -100*50*10 (IK) (K6) - 0,031 GRIGIO</t>
  </si>
  <si>
    <t>I-G ECO  DETENSIONATO -100*50*12 (IK) (K5) - 0,031 GRIGIO</t>
  </si>
  <si>
    <t>I-G ECO   NON DETENSIONATO -100*50*4 (IK) (K) - 0,031 GRIGIO</t>
  </si>
  <si>
    <t>I-G ECO   NON DETENSIONATO -100*50*5 (IK) (K12) - 0,031 GRIGIO</t>
  </si>
  <si>
    <t>I-G ECO   NON DETENSIONATO -100*50*6 (IK) (K10) - 0,031 GRIGIO</t>
  </si>
  <si>
    <t>I-G ECO   NON DETENSIONATO -100*50*8 (IK) (K7) - 0,031 GRIGIO</t>
  </si>
  <si>
    <t>I-G ECO   NON DETENSIONATO -100*50*10 (IK) (K6) - 0,031 GRIGIO</t>
  </si>
  <si>
    <t>I-G ECO   NON DETENSIONATO -100*50*12 (IK) (K5) - 0,031 GRIGIO</t>
  </si>
  <si>
    <t>-</t>
  </si>
  <si>
    <t>Trasporto Pannello LAZIO</t>
  </si>
  <si>
    <t>.</t>
  </si>
  <si>
    <t>Trasporto Pannello EMILIA</t>
  </si>
  <si>
    <t>Trasporto Pannello ROMAGNA</t>
  </si>
  <si>
    <t>I-GREY ECO  NON DETENSIONATO -100*50*4 (IK) (K) - 0,030 GRIGIO</t>
  </si>
  <si>
    <t>I-GREY ECO  NON DETENSIONATO -100*50*5 (IK) (K12) - 0,030 GRIGIO</t>
  </si>
  <si>
    <t>I-GREY ECO  NON DETENSIONATO -100*50*6 (IK) - 0,030 GRIGIO</t>
  </si>
  <si>
    <t>I-GREY ECO  NON DETENSIONATO -100*50*8 (IK) (K7) - 0,030 GRIGIO</t>
  </si>
  <si>
    <t>I-GREY ECO  NON DETENSIONATO -100*50*10 (IK) (K6) - 0,030 GRIGIO</t>
  </si>
  <si>
    <t>I-GREY ECO  NON DETENSIONATO -100*50*12 (IK) (K5) - 0,030 GRIGIO</t>
  </si>
  <si>
    <t>I-GREY ECO  NON DETENSIONATO -100*50*14 (IK) (K) - 0,030 GRIGIO</t>
  </si>
  <si>
    <t>I-G ECO  DETENSIONATO -100*50*14 (IK) (K) - 0,031 GRIGIO</t>
  </si>
  <si>
    <t>I-G ECO   NON DETENSIONATO -100*50*14 (IK) (K) - 0,031 GRIGIO</t>
  </si>
  <si>
    <t>2010.652AK8095</t>
  </si>
  <si>
    <t>2010.652AK8115</t>
  </si>
  <si>
    <t>2010.652AK8135</t>
  </si>
  <si>
    <t>2010.652AK8155</t>
  </si>
  <si>
    <t>2010.652AK8175</t>
  </si>
  <si>
    <t>2010.652AK8195</t>
  </si>
  <si>
    <t>2010.652CK8095</t>
  </si>
  <si>
    <t>2010.652CK8115</t>
  </si>
  <si>
    <t>2010.652CK8135</t>
  </si>
  <si>
    <t>2010.652CK8155</t>
  </si>
  <si>
    <t>2010.652CK8175</t>
  </si>
  <si>
    <t>2010.652CK8195</t>
  </si>
  <si>
    <t>2010.652AE0075</t>
  </si>
  <si>
    <t>2010.652AE0095</t>
  </si>
  <si>
    <t>2010.652AE0115</t>
  </si>
  <si>
    <t>2010.652AE0135</t>
  </si>
  <si>
    <t>2010.652AE0155</t>
  </si>
  <si>
    <t>2010.652AE0175</t>
  </si>
  <si>
    <t>2010.652AE0195</t>
  </si>
  <si>
    <t>2010.652AE0215</t>
  </si>
  <si>
    <t>2010.652AE0235</t>
  </si>
  <si>
    <t>2010.652CE0095</t>
  </si>
  <si>
    <t>2010.652CE0115</t>
  </si>
  <si>
    <t>2010.652CE0135</t>
  </si>
  <si>
    <t>2010.652CE0155</t>
  </si>
  <si>
    <t>2010.652CE0175</t>
  </si>
  <si>
    <t>2010.652CE0195</t>
  </si>
  <si>
    <t>2010.652CE0215</t>
  </si>
  <si>
    <t>2010.652CE0235</t>
  </si>
  <si>
    <t>2010.652CE0255</t>
  </si>
  <si>
    <t>2010.652CE0275</t>
  </si>
  <si>
    <t>2010.652CE0295</t>
  </si>
  <si>
    <t>2010.652DK0095</t>
  </si>
  <si>
    <t>2010.652DK0115</t>
  </si>
  <si>
    <t>2010.652DK0135</t>
  </si>
  <si>
    <t>2010.652DK0155</t>
  </si>
  <si>
    <t>2010.652DK0175</t>
  </si>
  <si>
    <t>2010.652DK0195</t>
  </si>
  <si>
    <t>2010.652DK0215</t>
  </si>
  <si>
    <t>2010.652DK0235</t>
  </si>
  <si>
    <t>2010.652DK0255</t>
  </si>
  <si>
    <t>2010.652DK0275</t>
  </si>
  <si>
    <t>2010.652DK0295</t>
  </si>
  <si>
    <t>2010.652GK0095</t>
  </si>
  <si>
    <t>2010.652GK0115</t>
  </si>
  <si>
    <t>2010.652GK0135</t>
  </si>
  <si>
    <t>2010.652GK0155</t>
  </si>
  <si>
    <t>2010.652GK0175</t>
  </si>
  <si>
    <t>2010.652GK0195</t>
  </si>
  <si>
    <t>2010.652GK0215</t>
  </si>
  <si>
    <t>2010.652GK0235</t>
  </si>
  <si>
    <t>2010.652GK0255</t>
  </si>
  <si>
    <t>2010.652GK0275</t>
  </si>
  <si>
    <t>2010.652GK0295</t>
  </si>
  <si>
    <t>2010.652GE0115</t>
  </si>
  <si>
    <t>2010.652GE0135</t>
  </si>
  <si>
    <t>2010.652GE0155</t>
  </si>
  <si>
    <t>2010.652GE0175</t>
  </si>
  <si>
    <t>2010.652GE0195</t>
  </si>
  <si>
    <t>2010.652GE0215</t>
  </si>
  <si>
    <t>2010.652GE0235</t>
  </si>
  <si>
    <t>2010.652GE0255</t>
  </si>
  <si>
    <t>2010.652GE0275</t>
  </si>
  <si>
    <t>2010.652GE0295</t>
  </si>
  <si>
    <t>2010.652GKA150</t>
  </si>
  <si>
    <t>2010.652GKA170</t>
  </si>
  <si>
    <t>2010.652GKA190</t>
  </si>
  <si>
    <t>2010.652GKA210</t>
  </si>
  <si>
    <t>2010.652GKA230</t>
  </si>
  <si>
    <t>2010.652GKA250</t>
  </si>
  <si>
    <t>2010.652GKA270</t>
  </si>
  <si>
    <t>2010.652GKA290</t>
  </si>
  <si>
    <t>2010.652GKA310</t>
  </si>
  <si>
    <t>2010.652GKA330</t>
  </si>
  <si>
    <t>2010.652GKA350</t>
  </si>
  <si>
    <t>2010.652GKA370</t>
  </si>
  <si>
    <t>2010.652GKA390</t>
  </si>
  <si>
    <t>2010.652GKA410</t>
  </si>
  <si>
    <t>2010.652GKA430</t>
  </si>
  <si>
    <t>2010.652REA090</t>
  </si>
  <si>
    <t>2010.652REB02G</t>
  </si>
  <si>
    <t>TICINO</t>
  </si>
  <si>
    <t xml:space="preserve">ELYFOAM CM 4 </t>
  </si>
  <si>
    <t>ELYFOAM CM 5</t>
  </si>
  <si>
    <t>ELYFOAM CM 6</t>
  </si>
  <si>
    <t>ELYFOAM CM 8</t>
  </si>
  <si>
    <t>ELYFOAM CM 10</t>
  </si>
  <si>
    <t xml:space="preserve">ELYFOAM CM ND </t>
  </si>
  <si>
    <t>SC. EXTRA EPS</t>
  </si>
  <si>
    <t>sc. Extra pannelli isoalnti</t>
  </si>
  <si>
    <t>margine E/MC</t>
  </si>
  <si>
    <t>Cospedi  CENTRO (Abruzzo, Lazio, Molise, Marche, Campania)  Euro 0,03/Kg</t>
  </si>
  <si>
    <t>Cospedi ISOLE Euro 0,6/Kg</t>
  </si>
  <si>
    <t>Cospedi SUD - NORD Euro 0,03/Kg</t>
  </si>
  <si>
    <t>MQ 55</t>
  </si>
  <si>
    <t>POLIHEX DIBI POP 136 RE -100*50*4 (FDB) (K15)</t>
  </si>
  <si>
    <t>POLIHEX DIBI POP 136 RE -100*50*5 (FDB) (K12)</t>
  </si>
  <si>
    <t>POLIHEX DIBI POP 136 RE -100*50*6 (FDB) (K10)</t>
  </si>
  <si>
    <t>POLIHEX DIBI POP 136 RE -100*50*8 (FDB) (K7)</t>
  </si>
  <si>
    <t>POLIHEX DIBI POP 136 RE -100*50*10 (FDB) (K6)</t>
  </si>
  <si>
    <t>POLIHEX DIBI POP 136 RE -100*50*12 (FDB) (K5)</t>
  </si>
  <si>
    <t>POLIHEX DIBI POP 136 RE -100*50*14 (FDB) (K5)</t>
  </si>
  <si>
    <t>POLIHEX ECOSILVER 130 RE -100*50*4 (FDB) (K12)</t>
  </si>
  <si>
    <t>POLIHEX ECOSILVER 130 RE -100*50*5 (FDB) (K12)</t>
  </si>
  <si>
    <t>POLIHEX ECOSILVER 130 RE -100*50*6 (FDB) (K10)</t>
  </si>
  <si>
    <t>POLIHEX ECOSILVER 130 RE -100*50*8 (FDB) (K7)</t>
  </si>
  <si>
    <t>POLIHEX ECOSILVER 130 RE -100*50*10 (FDB) (K6)</t>
  </si>
  <si>
    <t>POLIHEX ECOSILVER 130 RE -100*50*12 (FDB) (K5)</t>
  </si>
  <si>
    <t>POLIHEX ECOSILVER 130 RE -100*50*14 (FDB) (K)</t>
  </si>
  <si>
    <t>POLIHEX ECOSILVER 131 RE -100*50*4 (FDB) (K12)</t>
  </si>
  <si>
    <t>POLIHEX ECOSILVER 131 RE -100*50*5 (FDB) (K12)</t>
  </si>
  <si>
    <t>POLIHEX ECOSILVER 131 RE -100*50*6 (FDB) (K10)</t>
  </si>
  <si>
    <t>POLIHEX ECOSILVER 131 RE -100*50*8 (FDB) (K7)</t>
  </si>
  <si>
    <t>POLIHEX ECOSILVER 131 RE -100*50*10 (FDB) (K6)</t>
  </si>
  <si>
    <t>POLIHEX ECOSILVER 131 RE -100*50*12 (FDB) (K5)</t>
  </si>
  <si>
    <t>POLIHEX ECOSILVER 131 RE -100*50*14 (FDB) (K)</t>
  </si>
  <si>
    <t>POLIHEX I-PAN ECO DETENSIONATO -100*50*4 (IK) (K) - 0,035 BIANCO</t>
  </si>
  <si>
    <t>POLIHEX I-PAN ECO DETENSIONATO -100*50*5 (IK) (K12) - 0,035 BIANCO</t>
  </si>
  <si>
    <t>POLIHEX I-PAN ECO DETENSIONATO -100*50*6 (IK) - 0,035 BIANCO</t>
  </si>
  <si>
    <t>POLIHEX I-PAN ECO DETENSIONATO -100*50*8 (IK) (K7) - 0,035 BIANCO</t>
  </si>
  <si>
    <t>POLIHEX I-PAN ECO DETENSIONATO -100*50*10 (IK) (K6) - 0,035 BIANCO</t>
  </si>
  <si>
    <t>POLIHEX I-PAN ECO DETENSIONATO -100*50*12 (IK) (K5) - 0,035 BIANCO</t>
  </si>
  <si>
    <t>POLIHEX I-PAN ECO DETENSIONATO -100*50*14 (IK) (K) - 0,035 BIANCO</t>
  </si>
  <si>
    <t>POLIHEX I-GREY ECO DETENSIONATO -100*50*4 (IK) (K) - 0,030 GRIGIO</t>
  </si>
  <si>
    <t>POLIHEX I-GREY ECO DETENSIONATO -100*50*5 (IK) (K12) - 0,030 GRIGIO</t>
  </si>
  <si>
    <t>POLIHEX I-GREY ECO DETENSIONATO -100*50*6 (IK) - 0,030 GRIGIO</t>
  </si>
  <si>
    <t>POLIHEX I-GREY ECO DETENSIONATO -100*50*8 (IK) (K7) - 0,030 GRIGIO</t>
  </si>
  <si>
    <t>POLIHEX I-GREY ECO DETENSIONATO -100*50*10 (IK) (K6) - 0,030 GRIGIO</t>
  </si>
  <si>
    <t>POLIHEX I-GREY ECO DETENSIONATO -100*50*12 (IK) (K5) - 0,030 GRIGIO</t>
  </si>
  <si>
    <t>POLIHEX I-GREY ECO DETENSIONATO -100*50*14 (IK) (K) - 0,030 GRIGIO</t>
  </si>
  <si>
    <t>TASSHEX TASSELLO A PERCUSSIONE LTX-8 PERNO PLASTICA 10*95 (KL) (K)</t>
  </si>
  <si>
    <t>TASSHEX TASSELLO A PERCUSSIONE LTX-8 PERNO PLASTICA 10*115 (KL) (K)</t>
  </si>
  <si>
    <t>TASSHEX TASSELLO A PERCUSSIONE LTX-8 PERNO PLASTICA 10*135 (KL) (K)</t>
  </si>
  <si>
    <t>TASSHEX TASSELLO A PERCUSSIONE LTX-8 PERNO PLASTICA 10*155 (KL) (K)</t>
  </si>
  <si>
    <t>TASSHEX TASSELLO A PERCUSSIONE LTX-8 PERNO PLASTICA 10*175 (KL) (K)</t>
  </si>
  <si>
    <t>TASSHEX TASSELLO A PERCUSSIONE LTX-8 PERNO PLASTICA 10*195 (KL) (K)</t>
  </si>
  <si>
    <t>TASSHEX TASSELLO A PERCUSSIONE LMX-8 PERNO ACCIAIO 10*95 (KL) (K)</t>
  </si>
  <si>
    <t>TASSHEX TASSELLO A PERCUSSIONE LMX-8 PERNO ACCIAIO 10*115 (KL) (K)</t>
  </si>
  <si>
    <t>TASSHEX TASSELLO A PERCUSSIONE LMX-8 PERNO ACCIAIO 10*135 (KL) (K)</t>
  </si>
  <si>
    <t>TASSHEX TASSELLO A PERCUSSIONE LMX-8 PERNO ACCIAIO 10*155 (KL) (K)</t>
  </si>
  <si>
    <t>TASSHEX TASSELLO A PERCUSSIONE LMX-8 PERNO ACCIAIO 10*175 (KL) (K)</t>
  </si>
  <si>
    <t>TASSHEX TASSELLO A PERCUSSIONE LMX-8 PERNO ACCIAIO 10*195 (KL) (K)</t>
  </si>
  <si>
    <t>TASSHEX TASSELLO A PERCUSSIONE UNIVERS. H3 08*075 (EJ) (K100)</t>
  </si>
  <si>
    <t>TASSHEX TASSELLO A PERCUSSIONE UNIVERS. H3 08*095 (EJ) (K100)</t>
  </si>
  <si>
    <t>TASSHEX TASSELLO A PERCUSSIONE UNIVERS. H3 08*115 (EJ) (K100)</t>
  </si>
  <si>
    <t>TASSHEX TASSELLO A PERCUSSIONE UNIVERS. H3 08*135 (EJ) (K100)</t>
  </si>
  <si>
    <t>TASSHEX TASSELLO A PERCUSSIONE UNIVERS. H3 08*155 (EJ) (K100)</t>
  </si>
  <si>
    <t>TASSHEX TASSELLO A PERCUSSIONE UNIVERS. H3 08*175 (EJ) (K100)</t>
  </si>
  <si>
    <t>TASSHEX TASSELLO A PERCUSSIONE UNIVERS. H3 08*195 (EJ) (K100)</t>
  </si>
  <si>
    <t>TASSHEX TASSELLO A PERCUSSIONE UNIVERS. H3 08*215 (EJ) (K100)</t>
  </si>
  <si>
    <t>TASSHEX TASSELLO A PERCUSSIONE UNIVERS. H3 08*235 (EJ) (K100)</t>
  </si>
  <si>
    <t>TASSHEX TASSELLO A PERCUSSIONE THERM H2 PERNO ACCIAIO 08*095 (EJ)</t>
  </si>
  <si>
    <t>TASSHEX TASSELLO A PERCUSSIONE THERM H2 PERNO ACCIAIO 08*195 (EJ)</t>
  </si>
  <si>
    <t>TASSHEX TASSELLO A PERCUSSIONE THERM H2 PERNO ACCIAIO 08*215 (EJ)</t>
  </si>
  <si>
    <t>TASSHEX TASSELLO A PERCUSSIONE THERM H2 PERNO ACCIAIO 08*235 (EJ)</t>
  </si>
  <si>
    <t>TASSHEX TASSELLO A PERCUSSIONE THERM H2 PERNO ACCIAIO 08*255 (EJ)</t>
  </si>
  <si>
    <t>TASSHEX TASSELLO A PERCUSSIONE THERM H2 PERNO ACCIAIO 08*275 (EJ)</t>
  </si>
  <si>
    <t>TASSHEX TASSELLO A PERCUSSIONE THERM H2 PERNO ACCIAIO 08*295 (EJ)</t>
  </si>
  <si>
    <t>TASSHEX TASSELLO A PERCUSSIONE WKTHERM 8 PERNO ACCIAIO 8*95 (KL)</t>
  </si>
  <si>
    <t>TASSHEX TASSELLO A PERCUSSIONE WKTHERM 8 PERNO ACCIAIO 8*115 (KL)</t>
  </si>
  <si>
    <t>TASSHEX TASSELLO A PERCUSSIONE WKTHERM 8 PERNO ACCIAIO 8*195 (KL)</t>
  </si>
  <si>
    <t>TASSHEX TASSELLO A PERCUSSIONE WKTHERM 8 PERNO ACCIAIO 8*235 (KL)</t>
  </si>
  <si>
    <t>TASSHEXT ASSELLO A PERCUSSIONE WKTHERM 8 PERNO ACCIAIO 8*215 (KL)</t>
  </si>
  <si>
    <t>TASSHEX TASSELLO A PERCUSSIONE WKTHERM 8 PERNO ACCIAIO 8*255 (KL)</t>
  </si>
  <si>
    <t>TASSHEX TASSELLO A PERCUSSIONE WKTHERM 8 PERNO ACCIAIO 8*275 (KL)</t>
  </si>
  <si>
    <t>TASSHEX TASSELLO A PERCUSSIONE WKTHERM 8 PERNO ACCIAIO 8*295 (KL)</t>
  </si>
  <si>
    <t xml:space="preserve">TASSHEX TASSELLO A PERCUSSIONE WKTHERM 8 PERNO ACCIAIO 8*175 (KL) </t>
  </si>
  <si>
    <t xml:space="preserve">TASSHEX TASSELLO A PERCUSSIONE WKTHERM 8 PERNO ACCIAIO 8*155 (KL) </t>
  </si>
  <si>
    <t xml:space="preserve">TASSHEX TASSELLO A PERCUSSIONE WKTHERM 8 PERNO ACCIAIO 8*135 (KL) </t>
  </si>
  <si>
    <t>TASSHEX TASSELLO AVVITAM. WKTHERM-S8 PERNO ACCIAIO 8*95 (KL)</t>
  </si>
  <si>
    <t xml:space="preserve">TASSHEX TASSELLO AVVITAM. WKTHERM-S8 PERNO ACCIAIO 8*155 (KL) </t>
  </si>
  <si>
    <t xml:space="preserve">TASSHEX TASSELLO AVVITAM. WKTHERM-S8 PERNO ACCIAIO 8*135 (KL) </t>
  </si>
  <si>
    <t xml:space="preserve">TASSHEX TASSELLO A PERCUSSIONE THERM H2 PERNO ACCIAIO 08*175 (EJ) </t>
  </si>
  <si>
    <t xml:space="preserve">TASSHEX TASSELLO A PERCUSSIONE THERM H2 PERNO ACCIAIO 08*155 (EJ) </t>
  </si>
  <si>
    <t xml:space="preserve">TASSHEX TASSELLO A PERCUSSIONE THERM H2 PERNO ACCIAIO 08*135 (EJ) </t>
  </si>
  <si>
    <t xml:space="preserve">TASSHEX TASSELLO A PERCUSSIONE THERM H2 PERNO ACCIAIO 08*115 (EJ) </t>
  </si>
  <si>
    <t xml:space="preserve">TASSHEX TASSELLO AVVITAM. WKTHERM-S8 PERNO ACCIAIO 8*115 (KL) </t>
  </si>
  <si>
    <t>TASSHEX TASSELLO AVVITAM. WKTHERM-S8 PERNO ACCIAIO 8*175 (KL)</t>
  </si>
  <si>
    <t>TASSHEX TASSELLO AVVITAM. WKTHERM-S8 PERNO ACCIAIO 8*195 (KL)</t>
  </si>
  <si>
    <t>TASSHEX TASSELLO AVVITAM. WKTHERM-S8 PERNO ACCIAIO 8*215 (KL)</t>
  </si>
  <si>
    <t>TASSHEX TASSELLO AVVITAM. WKTHERM-S8 PERNO ACCIAIO 8*235 (KL)</t>
  </si>
  <si>
    <t>TASSHEX TASSELLO AVVITAM. WKTHERM-S8 PERNO ACCIAIO 8*255 (KL)</t>
  </si>
  <si>
    <t>TASSHEX TASSELLO AVVITAM. WKTHERM-S8 PERNO ACCIAIO 8*275 (KL)</t>
  </si>
  <si>
    <t>TASSHEX TASSELLO AVVITAM. WKTHERM-S8 PERNO ACCIAIO 8*295 (KL)</t>
  </si>
  <si>
    <t>TASSHEX TASSELLO AVVITAM. THERM STR U2G PERNO ACCIAIO 8*115 (EJ)</t>
  </si>
  <si>
    <t>TASSHEX TASSELLO AVVITAM. THERM STR U2G PERNO ACCIAIO 8*135 (EJ)</t>
  </si>
  <si>
    <t>TASSHEX TASSELLO AVVITAM. THERM STR U2G PERNO ACCIAIO 8*155 (EJ)</t>
  </si>
  <si>
    <t>TASSHEX TASSELLO AVVITAM. THERM STR U2G PERNO ACCIAIO 8*175 (EJ)</t>
  </si>
  <si>
    <t>TASSHEX TASSELLO AVVITAM. THERM STR U2G PERNO ACCIAIO 8*195 (EJ)</t>
  </si>
  <si>
    <t>TASSHEX TASSELLO AVVITAM. THERM STR U2G PERNO ACCIAIO 8*215 (EJ)</t>
  </si>
  <si>
    <t>TASSHEX TASSELLO AVVITAM. THERM STR U2G PERNO ACCIAIO 8*235 (EJ)</t>
  </si>
  <si>
    <t>TASSHEX TASSELLO AVVITAM. THERM STR U2G PERNO ACCIAIO 8*255 (EJ)</t>
  </si>
  <si>
    <t>TASSHEX TASSELLO AVVITAM. THERM STR U2G PERNO ACCIAIO 8*275 (EJ)</t>
  </si>
  <si>
    <t>TASSHEX TASSELLO AVVITAM. THERM STR U2G PERNO ACCIAIO 8*295 (EJ)</t>
  </si>
  <si>
    <t>TASSHEX TASSELLO AVVITAM. ECODRIVE W8 -PERNO ACCIAIO 8*150 (KL)</t>
  </si>
  <si>
    <t>TASSHEX TASSELLO AVVITAM. ECODRIVE W8 -PERNO ACCIAIO 8*170 (KL)</t>
  </si>
  <si>
    <t>TASSHEX TASSELLO AVVITAM. ECODRIVE W8 -PERNO ACCIAIO 8*190 (KL)</t>
  </si>
  <si>
    <t>TASSHEX TASSELLO AVVITAM. ECODRIVE W8 -PERNO ACCIAIO 8*210 (KL)</t>
  </si>
  <si>
    <t>TASSHEX TASSELLO AVVITAM. ECODRIVE W8 -PERNO ACCIAIO 8*230 (KL)</t>
  </si>
  <si>
    <t>TASSHEX TASSELLO AVVITAM. ECODRIVE W8 -PERNO ACCIAIO 8*250 (KL)</t>
  </si>
  <si>
    <t>TASSHEX TASSELLO AVVITAM. ECODRIVE W8 -PERNO ACCIAIO 8*270 (KL)</t>
  </si>
  <si>
    <t>TASSHEX TASSELLO AVVITAM. ECODRIVE W8 -PERNO ACCIAIO 8*290 (KL)</t>
  </si>
  <si>
    <t>TASSHEX TASSELLO AVVITAM. ECODRIVE W8 -PERNO ACCIAIO 8*310 (KL)</t>
  </si>
  <si>
    <t>TASSHEX TASSELLO AVVITAM. ECODRIVE W8 -PERNO ACCIAIO 8*330 (KL)</t>
  </si>
  <si>
    <t>TASSHEX TASSELLO AVVITAM. ECODRIVE W8 -PERNO ACCIAIO 8*350 (KL)</t>
  </si>
  <si>
    <t>TASSHEX TASSELLO AVVITAM. ECODRIVE W8 -PERNO ACCIAIO 8*370 (KL)</t>
  </si>
  <si>
    <t>TASSHEX TASSELLO AVVITAM. ECODRIVE W8 -PERNO ACCIAIO 8*390 (KL)</t>
  </si>
  <si>
    <t>TASSHEX TASSELLO AVVITAM. ECODRIVE W8 -PERNO ACCIAIO 8*410 (KL)</t>
  </si>
  <si>
    <t>TASSHEX TASSELLO AVVITAM. ECODRIVE W8 -PERNO ACCIAIO 8*430 (KL)</t>
  </si>
  <si>
    <t>2010.655AB0150</t>
  </si>
  <si>
    <t>RETE PER CAPP. 150 gr. ETAG004 (BX)  50MQ (K33)</t>
  </si>
  <si>
    <t>2010.655AB0160</t>
  </si>
  <si>
    <t>RETE PER CAPP. 160 gr. ETAG004 (BX)  50MQ (K33)</t>
  </si>
  <si>
    <t>2010.655AB1160</t>
  </si>
  <si>
    <t>2010.655AB1171</t>
  </si>
  <si>
    <t>Fibrothex RETE IN FIBRA DI VETRO BIANCA 150 gr. 1,1X50 mt. 55MQ (K33) (DAK)</t>
  </si>
  <si>
    <t>Fibrothex RETE BIANCA SILVER - NET BIANCA 160 gr. 1,1X50 mt. 55MQ (K33) (DAK)</t>
  </si>
  <si>
    <t>STIFERITE PANNELLO CLASS SK 60X120 CM 2</t>
  </si>
  <si>
    <t>STIFERITE PANNELLO CLASS SK 60X120 CM 3</t>
  </si>
  <si>
    <t>STIFERITE PANNELLO CLASS SK 60X120 CM 4</t>
  </si>
  <si>
    <t>STIFERITE PANNELLO CLASS SK 60X120 CM 5</t>
  </si>
  <si>
    <t>STIFERITE PANNELLO CLASS SK 60X120 CM 6</t>
  </si>
  <si>
    <t>STIFERITE PANNELLO CLASS SK 60X120 CM 8</t>
  </si>
  <si>
    <t>STIFERITE PANNELLO CLASS SK 60X120 CM 10</t>
  </si>
  <si>
    <t>STIFERITE PANNELLO CLASS SK 60X120 CM 12</t>
  </si>
  <si>
    <t>Fibrothex RETE PER CAPP. 160 gr. ETAG004 (GAVAZZI)  50MQ (K40)</t>
  </si>
  <si>
    <t xml:space="preserve">Polibeck GT100 100*50*4 (IK) (K) - 0,031 GRIGIO </t>
  </si>
  <si>
    <t xml:space="preserve">Polibeck GT100 100*50*5 (IK) (K12) - 0,031 GRIGIO </t>
  </si>
  <si>
    <t xml:space="preserve">Polibeck GT100 100*50*6 (IK) (K10) - 0,031 GRIGIO </t>
  </si>
  <si>
    <t xml:space="preserve">Polibeck GT100 100*50*8 (IK) (K7) - 0,031 GRIGIO </t>
  </si>
  <si>
    <t xml:space="preserve">Polibeck GT100 100*50*10 (IK) (K6) - 0,031 GRIGIO </t>
  </si>
  <si>
    <t xml:space="preserve">Polibeck GT100 100*50*12 (IK) (K5) - 0,031 GRIGIO </t>
  </si>
  <si>
    <t xml:space="preserve">Polibeck GT100 100*50*14 (IK) (K) - 0,031 GRIGIO  </t>
  </si>
  <si>
    <t xml:space="preserve">Polibeck GT100 100*50*4 (IK) (K) - 0,030 GRIGIO </t>
  </si>
  <si>
    <t xml:space="preserve">Polibeck GT100 100*50*5 (IK) (K12) - 0,030 GRIGIO </t>
  </si>
  <si>
    <t xml:space="preserve">Polibeck GT100 100*50*6 (IK) (K10) - 0,030 GRIGIO </t>
  </si>
  <si>
    <t xml:space="preserve">Polibeck GT100 100*50*8 (IK) (K7) - 0,030 GRIGIO </t>
  </si>
  <si>
    <t xml:space="preserve">Polibeck GT100 100*50*10 (IK) (K6) - 0,030 GRIGIO </t>
  </si>
  <si>
    <t xml:space="preserve">Polibeck GT100 100*50*12 (IK) (K5) - 0,030 GRIGIO </t>
  </si>
  <si>
    <t xml:space="preserve">Polibeck GT100 100*50*14 (IK) (K) - 0,030 GRIGIO  </t>
  </si>
  <si>
    <t>Polibeck ET 100   -100*50*4 (IK) (K)  - 0,036 BIANCO</t>
  </si>
  <si>
    <t>Polibeck ET 100   -100*50*5 (IK) (K12)- 0,036 BIANCO</t>
  </si>
  <si>
    <t>Polibeck ET 100   -100*50*6 (IK) (K10)- 0,036 BIANCO</t>
  </si>
  <si>
    <t>Polibeck ET 100   -100*50*8 (IK) (K7)- 0,036 BIANCO</t>
  </si>
  <si>
    <t>Polibeck ET 100   -100*50*10 (IK) (K6)- 0,036 BIANCO</t>
  </si>
  <si>
    <t>Polibeck ET 100   -100*50*12 (IK) (K5)- 0,036 BIANCO</t>
  </si>
  <si>
    <t>Polibeck ET 100   -100*50*14 (IK) (K)- 0,036 BIANCO</t>
  </si>
  <si>
    <t xml:space="preserve">ANNIBALE </t>
  </si>
  <si>
    <t>Trasporto Pannello PORON ITALIA</t>
  </si>
  <si>
    <t xml:space="preserve">Trasporto PANNELLO A RICHIESTA  </t>
  </si>
  <si>
    <t>PANN. PORON GREY CM 4 T150 - 0,030 (compreso trasporto)</t>
  </si>
  <si>
    <t>PANN. PORON GREY CM 5 T150 - 0,030 (compreso trasporto)</t>
  </si>
  <si>
    <t>PANN. PORON   GREY CM 6 T150 - 0,030 (compreso trasporto)</t>
  </si>
  <si>
    <t>PANN. PORON   GREY CM 8 T150 - 0,030 (compreso trasporto)</t>
  </si>
  <si>
    <t>PANN. PORON   GREY CM 10 T150 - 0,030 (compreso trasporto)</t>
  </si>
  <si>
    <t>PANN. PORON   GREY CM 12 T150 - 0,030 (compreso trasporto)</t>
  </si>
  <si>
    <t>PANN. PORON   GREY CM 14 T150 - 0,030 (compreso trasporto)</t>
  </si>
  <si>
    <t>PANN. PORON GREY CM 4 T100 - 0,031 (compreso trasporto)</t>
  </si>
  <si>
    <t>PANN. PORON GREY CM 5 T100 - 0,031 (compreso trasporto)</t>
  </si>
  <si>
    <t>PANN. PORON   GREY CM 6 T100 - 0,031 (compreso trasporto)</t>
  </si>
  <si>
    <t>PANN. PORON   GREY CM 8 T100 - 0,031 (compreso trasporto)</t>
  </si>
  <si>
    <t>PANN. PORON   GREY CM 10 T100 - 0,031 (compreso trasporto)</t>
  </si>
  <si>
    <t>PANN. PORON   GREY CM 12 T100 - 0,031 (compreso trasporto)</t>
  </si>
  <si>
    <t>PANN. PORON   GREY CM 14 T100 - 0,031 (compreso trasporto)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</si>
</sst>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&quot;€&quot;\ #,##0;[Red]\-&quot;€&quot;\ #,##0"/>
    <numFmt numFmtId="165" formatCode="&quot;€&quot;\ #,##0.00;[Red]\-&quot;€&quot;\ #,##0.00"/>
    <numFmt numFmtId="166" formatCode="_-* #,##0_-;\-* #,##0_-;_-* &quot;-&quot;??_-;_-@_-"/>
    <numFmt numFmtId="167" formatCode="0.0"/>
    <numFmt numFmtId="168" formatCode="#,##0.0"/>
    <numFmt numFmtId="169" formatCode="#,##0_ ;[Red]\-#,##0\ "/>
    <numFmt numFmtId="170" formatCode="#,##0.0_ ;[Red]\-#,##0.0\ "/>
    <numFmt numFmtId="171" formatCode="&quot;€&quot;\ #,##0.000;[Red]\-&quot;€&quot;\ #,##0.000"/>
    <numFmt numFmtId="172" formatCode="0.000"/>
    <numFmt numFmtId="173" formatCode="#,##0.00_ ;\-#,##0.00\ "/>
    <numFmt numFmtId="174" formatCode="#,##0.00_ ;[Red]\-#,##0.00\ "/>
    <numFmt numFmtId="175" formatCode="0.000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10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b/>
      <sz val="10"/>
      <color rgb="FFFF0000"/>
      <name val="Arial"/>
      <family val="2"/>
    </font>
    <font>
      <b/>
      <sz val="10"/>
      <color theme="6" tint="0.59999389629810485"/>
      <name val="Arial"/>
      <family val="2"/>
    </font>
    <font>
      <sz val="10"/>
      <color theme="6" tint="0.59999389629810485"/>
      <name val="Arial"/>
      <family val="2"/>
    </font>
    <font>
      <b/>
      <sz val="10"/>
      <color theme="6" tint="-0.249977111117893"/>
      <name val="Arial"/>
      <family val="2"/>
    </font>
    <font>
      <sz val="13.5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A9446"/>
        <bgColor indexed="64"/>
      </patternFill>
    </fill>
    <fill>
      <patternFill patternType="solid">
        <fgColor rgb="FF88E23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78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2" fontId="5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2" fontId="5" fillId="2" borderId="0" xfId="0" applyNumberFormat="1" applyFont="1" applyFill="1" applyAlignment="1">
      <alignment vertical="center"/>
    </xf>
    <xf numFmtId="9" fontId="0" fillId="0" borderId="0" xfId="2" applyFont="1" applyAlignment="1">
      <alignment vertical="center"/>
    </xf>
    <xf numFmtId="0" fontId="0" fillId="0" borderId="1" xfId="0" applyBorder="1" applyAlignment="1">
      <alignment vertical="center"/>
    </xf>
    <xf numFmtId="164" fontId="2" fillId="2" borderId="0" xfId="1" applyNumberFormat="1" applyFill="1" applyBorder="1" applyAlignment="1">
      <alignment vertical="center"/>
    </xf>
    <xf numFmtId="2" fontId="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1" xfId="0" applyBorder="1"/>
    <xf numFmtId="165" fontId="0" fillId="0" borderId="5" xfId="0" applyNumberFormat="1" applyBorder="1" applyAlignment="1">
      <alignment vertical="center"/>
    </xf>
    <xf numFmtId="169" fontId="0" fillId="0" borderId="5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169" fontId="0" fillId="0" borderId="8" xfId="0" applyNumberFormat="1" applyBorder="1" applyAlignment="1">
      <alignment vertical="center"/>
    </xf>
    <xf numFmtId="0" fontId="0" fillId="2" borderId="1" xfId="0" applyFill="1" applyBorder="1"/>
    <xf numFmtId="2" fontId="7" fillId="2" borderId="0" xfId="0" applyNumberFormat="1" applyFont="1" applyFill="1" applyAlignment="1">
      <alignment vertical="center"/>
    </xf>
    <xf numFmtId="0" fontId="0" fillId="2" borderId="7" xfId="0" applyFill="1" applyBorder="1"/>
    <xf numFmtId="165" fontId="0" fillId="0" borderId="6" xfId="0" applyNumberFormat="1" applyBorder="1" applyAlignment="1">
      <alignment vertical="center"/>
    </xf>
    <xf numFmtId="169" fontId="0" fillId="0" borderId="7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  <xf numFmtId="165" fontId="0" fillId="0" borderId="1" xfId="0" applyNumberFormat="1" applyBorder="1" applyAlignment="1">
      <alignment vertical="center"/>
    </xf>
    <xf numFmtId="169" fontId="0" fillId="0" borderId="1" xfId="0" applyNumberFormat="1" applyBorder="1" applyAlignment="1">
      <alignment vertical="center"/>
    </xf>
    <xf numFmtId="0" fontId="0" fillId="0" borderId="7" xfId="0" applyBorder="1"/>
    <xf numFmtId="165" fontId="0" fillId="0" borderId="4" xfId="0" applyNumberFormat="1" applyBorder="1" applyAlignment="1">
      <alignment vertical="center"/>
    </xf>
    <xf numFmtId="169" fontId="0" fillId="0" borderId="4" xfId="0" applyNumberFormat="1" applyBorder="1" applyAlignment="1">
      <alignment vertical="center"/>
    </xf>
    <xf numFmtId="0" fontId="0" fillId="0" borderId="4" xfId="0" applyBorder="1"/>
    <xf numFmtId="170" fontId="0" fillId="0" borderId="1" xfId="0" applyNumberFormat="1" applyBorder="1" applyAlignment="1">
      <alignment vertical="center"/>
    </xf>
    <xf numFmtId="170" fontId="0" fillId="0" borderId="7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170" fontId="0" fillId="0" borderId="5" xfId="0" applyNumberFormat="1" applyBorder="1" applyAlignment="1">
      <alignment vertical="center"/>
    </xf>
    <xf numFmtId="170" fontId="0" fillId="0" borderId="8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170" fontId="0" fillId="0" borderId="4" xfId="0" applyNumberFormat="1" applyBorder="1" applyAlignment="1">
      <alignment vertical="center"/>
    </xf>
    <xf numFmtId="0" fontId="0" fillId="0" borderId="5" xfId="0" applyBorder="1"/>
    <xf numFmtId="171" fontId="0" fillId="0" borderId="5" xfId="0" applyNumberFormat="1" applyBorder="1" applyAlignment="1">
      <alignment vertical="center"/>
    </xf>
    <xf numFmtId="0" fontId="0" fillId="0" borderId="2" xfId="0" applyBorder="1"/>
    <xf numFmtId="171" fontId="0" fillId="0" borderId="2" xfId="0" applyNumberFormat="1" applyBorder="1" applyAlignment="1">
      <alignment vertical="center"/>
    </xf>
    <xf numFmtId="169" fontId="0" fillId="0" borderId="2" xfId="0" applyNumberFormat="1" applyBorder="1" applyAlignment="1">
      <alignment vertical="center"/>
    </xf>
    <xf numFmtId="171" fontId="0" fillId="0" borderId="7" xfId="0" applyNumberFormat="1" applyBorder="1" applyAlignment="1">
      <alignment vertical="center"/>
    </xf>
    <xf numFmtId="165" fontId="0" fillId="0" borderId="7" xfId="0" applyNumberFormat="1" applyBorder="1" applyAlignment="1">
      <alignment vertical="center"/>
    </xf>
    <xf numFmtId="0" fontId="0" fillId="7" borderId="0" xfId="0" applyFill="1" applyAlignment="1">
      <alignment horizontal="center"/>
    </xf>
    <xf numFmtId="166" fontId="0" fillId="0" borderId="0" xfId="0" applyNumberFormat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4" borderId="18" xfId="0" applyFon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0" borderId="20" xfId="0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9" fontId="6" fillId="2" borderId="0" xfId="2" applyFont="1" applyFill="1" applyBorder="1" applyAlignment="1">
      <alignment vertical="center"/>
    </xf>
    <xf numFmtId="0" fontId="0" fillId="0" borderId="23" xfId="0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2" fontId="0" fillId="0" borderId="22" xfId="0" applyNumberFormat="1" applyBorder="1" applyAlignment="1">
      <alignment vertical="center"/>
    </xf>
    <xf numFmtId="2" fontId="0" fillId="2" borderId="22" xfId="0" applyNumberFormat="1" applyFill="1" applyBorder="1" applyAlignment="1">
      <alignment vertical="center"/>
    </xf>
    <xf numFmtId="164" fontId="2" fillId="0" borderId="36" xfId="1" applyNumberFormat="1" applyBorder="1" applyAlignment="1">
      <alignment horizontal="center" vertical="center"/>
    </xf>
    <xf numFmtId="2" fontId="0" fillId="0" borderId="32" xfId="0" applyNumberFormat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right" vertical="center"/>
    </xf>
    <xf numFmtId="2" fontId="5" fillId="3" borderId="12" xfId="0" applyNumberFormat="1" applyFont="1" applyFill="1" applyBorder="1" applyAlignment="1">
      <alignment horizontal="right" vertical="center"/>
    </xf>
    <xf numFmtId="164" fontId="2" fillId="0" borderId="28" xfId="1" applyNumberFormat="1" applyBorder="1" applyAlignment="1">
      <alignment vertical="center"/>
    </xf>
    <xf numFmtId="0" fontId="5" fillId="4" borderId="29" xfId="0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164" fontId="2" fillId="0" borderId="39" xfId="1" applyNumberFormat="1" applyBorder="1" applyAlignment="1">
      <alignment vertical="center"/>
    </xf>
    <xf numFmtId="164" fontId="2" fillId="0" borderId="41" xfId="1" applyNumberFormat="1" applyBorder="1" applyAlignment="1">
      <alignment vertical="center"/>
    </xf>
    <xf numFmtId="164" fontId="2" fillId="0" borderId="34" xfId="1" applyNumberForma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164" fontId="2" fillId="0" borderId="42" xfId="1" applyNumberFormat="1" applyBorder="1" applyAlignment="1">
      <alignment vertical="center"/>
    </xf>
    <xf numFmtId="0" fontId="0" fillId="8" borderId="13" xfId="0" applyFill="1" applyBorder="1"/>
    <xf numFmtId="164" fontId="2" fillId="0" borderId="43" xfId="1" applyNumberFormat="1" applyBorder="1" applyAlignment="1">
      <alignment vertical="center"/>
    </xf>
    <xf numFmtId="0" fontId="0" fillId="9" borderId="13" xfId="0" applyFill="1" applyBorder="1"/>
    <xf numFmtId="0" fontId="0" fillId="10" borderId="13" xfId="0" applyFill="1" applyBorder="1"/>
    <xf numFmtId="0" fontId="0" fillId="11" borderId="13" xfId="0" applyFill="1" applyBorder="1"/>
    <xf numFmtId="0" fontId="0" fillId="2" borderId="13" xfId="0" applyFill="1" applyBorder="1"/>
    <xf numFmtId="164" fontId="2" fillId="0" borderId="14" xfId="1" applyNumberFormat="1" applyBorder="1" applyAlignment="1">
      <alignment vertical="center"/>
    </xf>
    <xf numFmtId="0" fontId="0" fillId="2" borderId="13" xfId="0" applyFill="1" applyBorder="1" applyAlignment="1">
      <alignment vertical="center"/>
    </xf>
    <xf numFmtId="2" fontId="0" fillId="0" borderId="14" xfId="0" applyNumberFormat="1" applyBorder="1" applyAlignment="1">
      <alignment vertical="center"/>
    </xf>
    <xf numFmtId="0" fontId="0" fillId="0" borderId="18" xfId="0" applyBorder="1"/>
    <xf numFmtId="164" fontId="2" fillId="0" borderId="36" xfId="1" applyNumberFormat="1" applyBorder="1" applyAlignment="1">
      <alignment vertical="center"/>
    </xf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0" fillId="0" borderId="16" xfId="0" applyBorder="1"/>
    <xf numFmtId="164" fontId="2" fillId="0" borderId="44" xfId="1" applyNumberFormat="1" applyBorder="1" applyAlignment="1">
      <alignment vertical="center"/>
    </xf>
    <xf numFmtId="0" fontId="0" fillId="0" borderId="21" xfId="0" applyBorder="1"/>
    <xf numFmtId="0" fontId="0" fillId="0" borderId="22" xfId="0" applyBorder="1"/>
    <xf numFmtId="171" fontId="0" fillId="0" borderId="37" xfId="0" applyNumberFormat="1" applyBorder="1" applyAlignment="1">
      <alignment vertical="center"/>
    </xf>
    <xf numFmtId="165" fontId="0" fillId="0" borderId="37" xfId="0" applyNumberFormat="1" applyBorder="1" applyAlignment="1">
      <alignment vertical="center"/>
    </xf>
    <xf numFmtId="169" fontId="0" fillId="0" borderId="22" xfId="0" applyNumberFormat="1" applyBorder="1" applyAlignment="1">
      <alignment vertical="center"/>
    </xf>
    <xf numFmtId="164" fontId="2" fillId="0" borderId="32" xfId="1" applyNumberFormat="1" applyBorder="1" applyAlignment="1">
      <alignment vertical="center"/>
    </xf>
    <xf numFmtId="2" fontId="5" fillId="8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2" fontId="0" fillId="8" borderId="9" xfId="0" applyNumberFormat="1" applyFill="1" applyBorder="1"/>
    <xf numFmtId="0" fontId="0" fillId="0" borderId="11" xfId="0" applyBorder="1" applyAlignment="1">
      <alignment horizontal="center"/>
    </xf>
    <xf numFmtId="165" fontId="0" fillId="0" borderId="38" xfId="0" applyNumberFormat="1" applyBorder="1" applyAlignment="1">
      <alignment vertical="center"/>
    </xf>
    <xf numFmtId="169" fontId="0" fillId="0" borderId="38" xfId="0" applyNumberFormat="1" applyBorder="1" applyAlignment="1">
      <alignment vertical="center"/>
    </xf>
    <xf numFmtId="164" fontId="2" fillId="0" borderId="45" xfId="1" applyNumberFormat="1" applyBorder="1" applyAlignment="1">
      <alignment vertical="center"/>
    </xf>
    <xf numFmtId="164" fontId="2" fillId="2" borderId="11" xfId="1" applyNumberFormat="1" applyFill="1" applyBorder="1" applyAlignment="1">
      <alignment vertical="center"/>
    </xf>
    <xf numFmtId="0" fontId="0" fillId="2" borderId="22" xfId="0" applyFill="1" applyBorder="1" applyAlignment="1">
      <alignment horizontal="center"/>
    </xf>
    <xf numFmtId="165" fontId="0" fillId="0" borderId="46" xfId="0" applyNumberFormat="1" applyBorder="1" applyAlignment="1">
      <alignment vertical="center"/>
    </xf>
    <xf numFmtId="164" fontId="2" fillId="0" borderId="47" xfId="1" applyNumberFormat="1" applyBorder="1" applyAlignment="1">
      <alignment vertical="center"/>
    </xf>
    <xf numFmtId="164" fontId="2" fillId="2" borderId="22" xfId="1" applyNumberFormat="1" applyFill="1" applyBorder="1" applyAlignment="1">
      <alignment vertical="center"/>
    </xf>
    <xf numFmtId="0" fontId="0" fillId="11" borderId="10" xfId="0" applyFill="1" applyBorder="1"/>
    <xf numFmtId="0" fontId="0" fillId="10" borderId="10" xfId="0" applyFill="1" applyBorder="1"/>
    <xf numFmtId="0" fontId="0" fillId="9" borderId="21" xfId="0" applyFill="1" applyBorder="1"/>
    <xf numFmtId="0" fontId="0" fillId="8" borderId="10" xfId="0" applyFill="1" applyBorder="1"/>
    <xf numFmtId="165" fontId="0" fillId="0" borderId="38" xfId="0" applyNumberFormat="1" applyBorder="1" applyAlignment="1">
      <alignment horizontal="right" vertical="center"/>
    </xf>
    <xf numFmtId="0" fontId="0" fillId="9" borderId="0" xfId="0" applyFill="1" applyAlignment="1">
      <alignment horizontal="center"/>
    </xf>
    <xf numFmtId="0" fontId="0" fillId="2" borderId="11" xfId="0" applyFill="1" applyBorder="1"/>
    <xf numFmtId="0" fontId="0" fillId="2" borderId="22" xfId="0" applyFill="1" applyBorder="1"/>
    <xf numFmtId="2" fontId="0" fillId="13" borderId="10" xfId="0" applyNumberFormat="1" applyFill="1" applyBorder="1" applyAlignment="1">
      <alignment vertical="center"/>
    </xf>
    <xf numFmtId="2" fontId="0" fillId="13" borderId="13" xfId="0" applyNumberFormat="1" applyFill="1" applyBorder="1" applyAlignment="1">
      <alignment vertical="center"/>
    </xf>
    <xf numFmtId="2" fontId="0" fillId="13" borderId="21" xfId="0" applyNumberFormat="1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165" fontId="0" fillId="0" borderId="48" xfId="0" applyNumberFormat="1" applyBorder="1" applyAlignment="1">
      <alignment vertical="center"/>
    </xf>
    <xf numFmtId="165" fontId="0" fillId="0" borderId="22" xfId="0" applyNumberFormat="1" applyBorder="1" applyAlignment="1">
      <alignment vertical="center"/>
    </xf>
    <xf numFmtId="174" fontId="0" fillId="0" borderId="22" xfId="0" applyNumberFormat="1" applyBorder="1" applyAlignment="1">
      <alignment vertical="center"/>
    </xf>
    <xf numFmtId="174" fontId="0" fillId="0" borderId="0" xfId="0" applyNumberFormat="1" applyAlignment="1">
      <alignment vertical="center"/>
    </xf>
    <xf numFmtId="174" fontId="0" fillId="0" borderId="11" xfId="0" applyNumberFormat="1" applyBorder="1" applyAlignment="1">
      <alignment vertical="center"/>
    </xf>
    <xf numFmtId="172" fontId="0" fillId="6" borderId="0" xfId="0" applyNumberFormat="1" applyFill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8" borderId="9" xfId="0" applyNumberFormat="1" applyFill="1" applyBorder="1" applyAlignment="1">
      <alignment horizontal="center" vertical="center"/>
    </xf>
    <xf numFmtId="2" fontId="0" fillId="14" borderId="34" xfId="0" applyNumberFormat="1" applyFill="1" applyBorder="1" applyAlignment="1">
      <alignment horizontal="center" vertical="center"/>
    </xf>
    <xf numFmtId="0" fontId="0" fillId="14" borderId="3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24" xfId="1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66" fontId="5" fillId="12" borderId="9" xfId="1" applyNumberFormat="1" applyFont="1" applyFill="1" applyBorder="1" applyAlignment="1">
      <alignment horizontal="center" vertical="center"/>
    </xf>
    <xf numFmtId="173" fontId="8" fillId="6" borderId="9" xfId="0" applyNumberFormat="1" applyFont="1" applyFill="1" applyBorder="1" applyAlignment="1">
      <alignment horizontal="center" vertical="center"/>
    </xf>
    <xf numFmtId="2" fontId="0" fillId="16" borderId="34" xfId="0" applyNumberForma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2" fontId="0" fillId="0" borderId="26" xfId="0" applyNumberFormat="1" applyBorder="1" applyAlignment="1">
      <alignment horizontal="center" vertical="center"/>
    </xf>
    <xf numFmtId="164" fontId="2" fillId="0" borderId="27" xfId="1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164" fontId="2" fillId="0" borderId="3" xfId="1" applyNumberFormat="1" applyBorder="1" applyAlignment="1">
      <alignment horizontal="center" vertical="center"/>
    </xf>
    <xf numFmtId="9" fontId="2" fillId="0" borderId="28" xfId="2" applyBorder="1" applyAlignment="1">
      <alignment horizontal="center" vertical="center"/>
    </xf>
    <xf numFmtId="165" fontId="5" fillId="4" borderId="29" xfId="1" applyNumberFormat="1" applyFont="1" applyFill="1" applyBorder="1" applyAlignment="1">
      <alignment horizontal="center" vertical="center"/>
    </xf>
    <xf numFmtId="164" fontId="5" fillId="4" borderId="30" xfId="1" applyNumberFormat="1" applyFont="1" applyFill="1" applyBorder="1" applyAlignment="1">
      <alignment horizontal="center" vertical="center"/>
    </xf>
    <xf numFmtId="9" fontId="5" fillId="4" borderId="31" xfId="2" applyFont="1" applyFill="1" applyBorder="1" applyAlignment="1">
      <alignment horizontal="center" vertical="center"/>
    </xf>
    <xf numFmtId="9" fontId="5" fillId="4" borderId="9" xfId="2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0" fontId="0" fillId="5" borderId="13" xfId="0" applyFill="1" applyBorder="1"/>
    <xf numFmtId="0" fontId="0" fillId="5" borderId="21" xfId="0" applyFill="1" applyBorder="1"/>
    <xf numFmtId="0" fontId="0" fillId="13" borderId="10" xfId="0" applyFill="1" applyBorder="1"/>
    <xf numFmtId="0" fontId="0" fillId="13" borderId="13" xfId="0" applyFill="1" applyBorder="1"/>
    <xf numFmtId="0" fontId="0" fillId="17" borderId="13" xfId="0" applyFill="1" applyBorder="1"/>
    <xf numFmtId="0" fontId="0" fillId="19" borderId="10" xfId="0" applyFill="1" applyBorder="1"/>
    <xf numFmtId="0" fontId="0" fillId="19" borderId="13" xfId="0" applyFill="1" applyBorder="1"/>
    <xf numFmtId="0" fontId="0" fillId="19" borderId="21" xfId="0" applyFill="1" applyBorder="1"/>
    <xf numFmtId="0" fontId="0" fillId="20" borderId="10" xfId="0" applyFill="1" applyBorder="1"/>
    <xf numFmtId="0" fontId="0" fillId="20" borderId="13" xfId="0" applyFill="1" applyBorder="1"/>
    <xf numFmtId="0" fontId="0" fillId="20" borderId="21" xfId="0" applyFill="1" applyBorder="1"/>
    <xf numFmtId="0" fontId="0" fillId="21" borderId="10" xfId="0" applyFill="1" applyBorder="1"/>
    <xf numFmtId="0" fontId="0" fillId="21" borderId="13" xfId="0" applyFill="1" applyBorder="1"/>
    <xf numFmtId="0" fontId="0" fillId="21" borderId="21" xfId="0" applyFill="1" applyBorder="1"/>
    <xf numFmtId="0" fontId="0" fillId="2" borderId="19" xfId="0" applyFill="1" applyBorder="1"/>
    <xf numFmtId="0" fontId="0" fillId="23" borderId="0" xfId="0" applyFill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65" fontId="0" fillId="0" borderId="8" xfId="0" applyNumberFormat="1" applyBorder="1" applyAlignment="1">
      <alignment vertical="center"/>
    </xf>
    <xf numFmtId="164" fontId="2" fillId="0" borderId="50" xfId="1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0" fillId="2" borderId="7" xfId="0" applyFill="1" applyBorder="1" applyAlignment="1">
      <alignment horizontal="center"/>
    </xf>
    <xf numFmtId="165" fontId="0" fillId="0" borderId="8" xfId="0" applyNumberFormat="1" applyBorder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165" fontId="5" fillId="4" borderId="37" xfId="1" applyNumberFormat="1" applyFont="1" applyFill="1" applyBorder="1" applyAlignment="1">
      <alignment horizontal="center" vertical="center"/>
    </xf>
    <xf numFmtId="165" fontId="5" fillId="4" borderId="4" xfId="1" applyNumberFormat="1" applyFont="1" applyFill="1" applyBorder="1" applyAlignment="1">
      <alignment horizontal="center" vertical="center"/>
    </xf>
    <xf numFmtId="2" fontId="0" fillId="4" borderId="37" xfId="0" applyNumberFormat="1" applyFill="1" applyBorder="1" applyAlignment="1">
      <alignment horizontal="center" vertical="center"/>
    </xf>
    <xf numFmtId="165" fontId="2" fillId="4" borderId="37" xfId="0" applyNumberFormat="1" applyFont="1" applyFill="1" applyBorder="1" applyAlignment="1">
      <alignment horizontal="center" vertical="center"/>
    </xf>
    <xf numFmtId="4" fontId="5" fillId="4" borderId="31" xfId="1" applyNumberFormat="1" applyFont="1" applyFill="1" applyBorder="1" applyAlignment="1">
      <alignment horizontal="center" vertical="center"/>
    </xf>
    <xf numFmtId="2" fontId="0" fillId="4" borderId="29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2" fillId="2" borderId="0" xfId="1" applyNumberFormat="1" applyFill="1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4" fontId="5" fillId="4" borderId="36" xfId="1" applyNumberFormat="1" applyFont="1" applyFill="1" applyBorder="1" applyAlignment="1">
      <alignment horizontal="center" vertical="center"/>
    </xf>
    <xf numFmtId="2" fontId="0" fillId="4" borderId="18" xfId="0" applyNumberForma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0" fillId="0" borderId="18" xfId="0" applyBorder="1" applyAlignment="1">
      <alignment horizontal="center" vertical="center"/>
    </xf>
    <xf numFmtId="175" fontId="0" fillId="0" borderId="0" xfId="0" applyNumberFormat="1" applyAlignment="1">
      <alignment vertical="center"/>
    </xf>
    <xf numFmtId="0" fontId="0" fillId="0" borderId="7" xfId="0" applyBorder="1" applyAlignment="1">
      <alignment vertical="center"/>
    </xf>
    <xf numFmtId="175" fontId="0" fillId="0" borderId="1" xfId="0" applyNumberFormat="1" applyBorder="1" applyAlignment="1">
      <alignment vertical="center"/>
    </xf>
    <xf numFmtId="175" fontId="0" fillId="0" borderId="7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0" fillId="18" borderId="15" xfId="0" applyFill="1" applyBorder="1"/>
    <xf numFmtId="0" fontId="0" fillId="12" borderId="15" xfId="0" applyFill="1" applyBorder="1"/>
    <xf numFmtId="0" fontId="0" fillId="12" borderId="13" xfId="0" applyFill="1" applyBorder="1"/>
    <xf numFmtId="0" fontId="0" fillId="12" borderId="19" xfId="0" applyFill="1" applyBorder="1"/>
    <xf numFmtId="0" fontId="0" fillId="6" borderId="10" xfId="0" applyFill="1" applyBorder="1"/>
    <xf numFmtId="175" fontId="0" fillId="0" borderId="11" xfId="0" applyNumberFormat="1" applyBorder="1" applyAlignment="1">
      <alignment vertical="center"/>
    </xf>
    <xf numFmtId="0" fontId="0" fillId="6" borderId="13" xfId="0" applyFill="1" applyBorder="1"/>
    <xf numFmtId="0" fontId="0" fillId="6" borderId="19" xfId="0" applyFill="1" applyBorder="1"/>
    <xf numFmtId="0" fontId="0" fillId="2" borderId="15" xfId="0" applyFill="1" applyBorder="1"/>
    <xf numFmtId="0" fontId="0" fillId="16" borderId="15" xfId="0" applyFill="1" applyBorder="1"/>
    <xf numFmtId="0" fontId="0" fillId="16" borderId="13" xfId="0" applyFill="1" applyBorder="1"/>
    <xf numFmtId="0" fontId="0" fillId="16" borderId="19" xfId="0" applyFill="1" applyBorder="1"/>
    <xf numFmtId="0" fontId="0" fillId="22" borderId="13" xfId="0" applyFill="1" applyBorder="1"/>
    <xf numFmtId="0" fontId="0" fillId="2" borderId="21" xfId="0" applyFill="1" applyBorder="1"/>
    <xf numFmtId="2" fontId="5" fillId="8" borderId="24" xfId="0" applyNumberFormat="1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2" fontId="5" fillId="3" borderId="51" xfId="0" applyNumberFormat="1" applyFont="1" applyFill="1" applyBorder="1" applyAlignment="1">
      <alignment horizontal="right" vertical="center"/>
    </xf>
    <xf numFmtId="9" fontId="5" fillId="3" borderId="14" xfId="2" applyFont="1" applyFill="1" applyBorder="1" applyAlignment="1">
      <alignment horizontal="right" vertical="center"/>
    </xf>
    <xf numFmtId="0" fontId="5" fillId="2" borderId="14" xfId="0" applyFont="1" applyFill="1" applyBorder="1" applyAlignment="1">
      <alignment vertical="center"/>
    </xf>
    <xf numFmtId="2" fontId="0" fillId="2" borderId="34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73" fontId="8" fillId="2" borderId="3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0" fillId="5" borderId="23" xfId="0" applyFill="1" applyBorder="1"/>
    <xf numFmtId="0" fontId="0" fillId="5" borderId="24" xfId="0" applyFill="1" applyBorder="1"/>
    <xf numFmtId="0" fontId="0" fillId="5" borderId="25" xfId="0" applyFill="1" applyBorder="1"/>
    <xf numFmtId="9" fontId="2" fillId="0" borderId="11" xfId="2" applyBorder="1" applyAlignment="1">
      <alignment horizontal="center" vertical="center"/>
    </xf>
    <xf numFmtId="0" fontId="0" fillId="11" borderId="12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32" xfId="0" applyFill="1" applyBorder="1" applyAlignment="1">
      <alignment vertical="center"/>
    </xf>
    <xf numFmtId="172" fontId="0" fillId="0" borderId="0" xfId="0" applyNumberFormat="1" applyAlignment="1">
      <alignment vertical="center"/>
    </xf>
    <xf numFmtId="2" fontId="5" fillId="24" borderId="33" xfId="0" applyNumberFormat="1" applyFont="1" applyFill="1" applyBorder="1" applyAlignment="1">
      <alignment horizontal="center" vertical="center"/>
    </xf>
    <xf numFmtId="9" fontId="5" fillId="5" borderId="34" xfId="2" applyFont="1" applyFill="1" applyBorder="1" applyAlignment="1" applyProtection="1">
      <alignment horizontal="center" vertical="center"/>
      <protection locked="0"/>
    </xf>
    <xf numFmtId="166" fontId="5" fillId="5" borderId="9" xfId="1" applyNumberFormat="1" applyFont="1" applyFill="1" applyBorder="1" applyAlignment="1">
      <alignment horizontal="center" vertical="center"/>
    </xf>
    <xf numFmtId="1" fontId="0" fillId="5" borderId="9" xfId="0" applyNumberFormat="1" applyFill="1" applyBorder="1" applyAlignment="1" applyProtection="1">
      <alignment horizontal="center" vertical="center"/>
      <protection locked="0"/>
    </xf>
    <xf numFmtId="9" fontId="5" fillId="5" borderId="9" xfId="2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" fontId="5" fillId="0" borderId="28" xfId="1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4" fontId="5" fillId="0" borderId="12" xfId="1" applyNumberFormat="1" applyFont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2" borderId="26" xfId="0" applyNumberFormat="1" applyFont="1" applyFill="1" applyBorder="1" applyAlignment="1">
      <alignment horizontal="center" vertical="center"/>
    </xf>
    <xf numFmtId="2" fontId="5" fillId="0" borderId="38" xfId="0" applyNumberFormat="1" applyFont="1" applyBorder="1" applyAlignment="1">
      <alignment horizontal="center" vertical="center"/>
    </xf>
    <xf numFmtId="172" fontId="5" fillId="2" borderId="16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4" fontId="5" fillId="0" borderId="39" xfId="1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2" fontId="5" fillId="0" borderId="38" xfId="0" applyNumberFormat="1" applyFont="1" applyBorder="1" applyAlignment="1">
      <alignment vertical="center"/>
    </xf>
    <xf numFmtId="167" fontId="6" fillId="0" borderId="38" xfId="0" applyNumberFormat="1" applyFont="1" applyBorder="1" applyAlignment="1">
      <alignment vertical="center"/>
    </xf>
    <xf numFmtId="1" fontId="5" fillId="0" borderId="38" xfId="0" applyNumberFormat="1" applyFont="1" applyBorder="1" applyAlignment="1">
      <alignment vertical="center"/>
    </xf>
    <xf numFmtId="4" fontId="5" fillId="5" borderId="9" xfId="1" applyNumberFormat="1" applyFont="1" applyFill="1" applyBorder="1" applyAlignment="1" applyProtection="1">
      <alignment vertical="center"/>
      <protection locked="0"/>
    </xf>
    <xf numFmtId="0" fontId="5" fillId="0" borderId="20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4" fontId="5" fillId="0" borderId="44" xfId="1" applyNumberFormat="1" applyFont="1" applyBorder="1" applyAlignment="1">
      <alignment vertical="center"/>
    </xf>
    <xf numFmtId="2" fontId="5" fillId="0" borderId="26" xfId="0" applyNumberFormat="1" applyFont="1" applyBorder="1" applyAlignment="1">
      <alignment vertical="center"/>
    </xf>
    <xf numFmtId="4" fontId="5" fillId="0" borderId="12" xfId="1" applyNumberFormat="1" applyFont="1" applyBorder="1" applyAlignment="1">
      <alignment vertical="center"/>
    </xf>
    <xf numFmtId="2" fontId="5" fillId="0" borderId="20" xfId="0" applyNumberFormat="1" applyFont="1" applyBorder="1" applyAlignment="1">
      <alignment vertical="center"/>
    </xf>
    <xf numFmtId="2" fontId="5" fillId="0" borderId="6" xfId="0" applyNumberFormat="1" applyFont="1" applyBorder="1" applyAlignment="1">
      <alignment vertical="center"/>
    </xf>
    <xf numFmtId="4" fontId="5" fillId="0" borderId="41" xfId="1" applyNumberFormat="1" applyFont="1" applyBorder="1" applyAlignment="1">
      <alignment vertical="center"/>
    </xf>
    <xf numFmtId="4" fontId="8" fillId="4" borderId="31" xfId="1" applyNumberFormat="1" applyFont="1" applyFill="1" applyBorder="1" applyAlignment="1">
      <alignment vertical="center"/>
    </xf>
    <xf numFmtId="4" fontId="8" fillId="4" borderId="31" xfId="1" applyNumberFormat="1" applyFont="1" applyFill="1" applyBorder="1" applyAlignment="1">
      <alignment horizontal="center" vertical="center"/>
    </xf>
    <xf numFmtId="4" fontId="8" fillId="4" borderId="36" xfId="1" applyNumberFormat="1" applyFont="1" applyFill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vertical="center"/>
    </xf>
    <xf numFmtId="2" fontId="5" fillId="15" borderId="0" xfId="0" applyNumberFormat="1" applyFont="1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37" fontId="2" fillId="15" borderId="0" xfId="1" applyNumberFormat="1" applyFill="1" applyBorder="1" applyAlignment="1">
      <alignment horizontal="center" vertical="center"/>
    </xf>
    <xf numFmtId="4" fontId="14" fillId="15" borderId="0" xfId="1" applyNumberFormat="1" applyFont="1" applyFill="1" applyBorder="1" applyAlignment="1">
      <alignment horizontal="center" vertical="center"/>
    </xf>
    <xf numFmtId="2" fontId="14" fillId="15" borderId="0" xfId="0" applyNumberFormat="1" applyFont="1" applyFill="1" applyAlignment="1">
      <alignment horizontal="center" vertical="center" wrapText="1"/>
    </xf>
    <xf numFmtId="1" fontId="15" fillId="15" borderId="0" xfId="0" applyNumberFormat="1" applyFont="1" applyFill="1" applyAlignment="1">
      <alignment horizontal="center" vertical="center"/>
    </xf>
    <xf numFmtId="164" fontId="15" fillId="15" borderId="0" xfId="1" applyNumberFormat="1" applyFont="1" applyFill="1" applyBorder="1" applyAlignment="1">
      <alignment horizontal="center" vertical="center"/>
    </xf>
    <xf numFmtId="2" fontId="15" fillId="15" borderId="0" xfId="0" applyNumberFormat="1" applyFont="1" applyFill="1" applyAlignment="1">
      <alignment horizontal="center" vertical="center"/>
    </xf>
    <xf numFmtId="2" fontId="15" fillId="15" borderId="0" xfId="1" applyNumberFormat="1" applyFont="1" applyFill="1" applyBorder="1" applyAlignment="1">
      <alignment horizontal="center" vertical="center"/>
    </xf>
    <xf numFmtId="2" fontId="14" fillId="15" borderId="0" xfId="0" applyNumberFormat="1" applyFont="1" applyFill="1" applyAlignment="1">
      <alignment horizontal="center" vertical="center"/>
    </xf>
    <xf numFmtId="2" fontId="14" fillId="15" borderId="0" xfId="0" applyNumberFormat="1" applyFont="1" applyFill="1" applyAlignment="1">
      <alignment vertical="center"/>
    </xf>
    <xf numFmtId="164" fontId="15" fillId="15" borderId="0" xfId="1" applyNumberFormat="1" applyFont="1" applyFill="1" applyBorder="1" applyAlignment="1">
      <alignment vertical="center"/>
    </xf>
    <xf numFmtId="2" fontId="15" fillId="15" borderId="0" xfId="0" applyNumberFormat="1" applyFont="1" applyFill="1" applyAlignment="1">
      <alignment vertical="center"/>
    </xf>
    <xf numFmtId="0" fontId="14" fillId="15" borderId="14" xfId="0" applyFont="1" applyFill="1" applyBorder="1" applyAlignment="1">
      <alignment vertical="center"/>
    </xf>
    <xf numFmtId="0" fontId="15" fillId="15" borderId="14" xfId="0" applyFont="1" applyFill="1" applyBorder="1" applyAlignment="1">
      <alignment vertical="center"/>
    </xf>
    <xf numFmtId="4" fontId="5" fillId="15" borderId="0" xfId="1" applyNumberFormat="1" applyFont="1" applyFill="1" applyBorder="1" applyAlignment="1">
      <alignment horizontal="center" vertical="center"/>
    </xf>
    <xf numFmtId="2" fontId="5" fillId="15" borderId="14" xfId="0" applyNumberFormat="1" applyFont="1" applyFill="1" applyBorder="1" applyAlignment="1">
      <alignment horizontal="center" vertical="center"/>
    </xf>
    <xf numFmtId="164" fontId="2" fillId="15" borderId="14" xfId="1" applyNumberFormat="1" applyFill="1" applyBorder="1" applyAlignment="1">
      <alignment horizontal="center" vertical="center"/>
    </xf>
    <xf numFmtId="0" fontId="0" fillId="15" borderId="14" xfId="0" applyFill="1" applyBorder="1" applyAlignment="1">
      <alignment horizontal="center" vertical="center"/>
    </xf>
    <xf numFmtId="4" fontId="12" fillId="15" borderId="0" xfId="0" applyNumberFormat="1" applyFont="1" applyFill="1" applyAlignment="1">
      <alignment vertical="center"/>
    </xf>
    <xf numFmtId="2" fontId="5" fillId="15" borderId="13" xfId="0" applyNumberFormat="1" applyFont="1" applyFill="1" applyBorder="1" applyAlignment="1">
      <alignment horizontal="center" vertical="center"/>
    </xf>
    <xf numFmtId="2" fontId="5" fillId="15" borderId="0" xfId="0" applyNumberFormat="1" applyFont="1" applyFill="1" applyAlignment="1">
      <alignment vertical="center"/>
    </xf>
    <xf numFmtId="168" fontId="12" fillId="15" borderId="0" xfId="1" applyNumberFormat="1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/>
    </xf>
    <xf numFmtId="0" fontId="12" fillId="15" borderId="14" xfId="0" applyFont="1" applyFill="1" applyBorder="1" applyAlignment="1">
      <alignment vertical="center"/>
    </xf>
    <xf numFmtId="0" fontId="5" fillId="25" borderId="10" xfId="0" applyFont="1" applyFill="1" applyBorder="1" applyAlignment="1">
      <alignment horizontal="center" vertical="center"/>
    </xf>
    <xf numFmtId="0" fontId="5" fillId="25" borderId="11" xfId="0" applyFont="1" applyFill="1" applyBorder="1" applyAlignment="1">
      <alignment horizontal="center" vertical="center"/>
    </xf>
    <xf numFmtId="2" fontId="5" fillId="25" borderId="11" xfId="0" applyNumberFormat="1" applyFont="1" applyFill="1" applyBorder="1" applyAlignment="1">
      <alignment horizontal="center" vertical="center"/>
    </xf>
    <xf numFmtId="2" fontId="5" fillId="25" borderId="12" xfId="0" applyNumberFormat="1" applyFont="1" applyFill="1" applyBorder="1" applyAlignment="1">
      <alignment horizontal="center" vertical="center"/>
    </xf>
    <xf numFmtId="2" fontId="5" fillId="25" borderId="10" xfId="0" applyNumberFormat="1" applyFont="1" applyFill="1" applyBorder="1" applyAlignment="1">
      <alignment horizontal="center" vertical="center"/>
    </xf>
    <xf numFmtId="2" fontId="5" fillId="25" borderId="33" xfId="0" applyNumberFormat="1" applyFont="1" applyFill="1" applyBorder="1" applyAlignment="1">
      <alignment horizontal="center" vertical="center"/>
    </xf>
    <xf numFmtId="165" fontId="5" fillId="25" borderId="35" xfId="1" applyNumberFormat="1" applyFont="1" applyFill="1" applyBorder="1" applyAlignment="1">
      <alignment horizontal="center" vertical="center"/>
    </xf>
    <xf numFmtId="169" fontId="5" fillId="25" borderId="34" xfId="0" applyNumberFormat="1" applyFont="1" applyFill="1" applyBorder="1" applyAlignment="1">
      <alignment horizontal="center" vertical="center"/>
    </xf>
    <xf numFmtId="0" fontId="5" fillId="25" borderId="33" xfId="0" applyFont="1" applyFill="1" applyBorder="1" applyAlignment="1">
      <alignment vertical="center"/>
    </xf>
    <xf numFmtId="0" fontId="5" fillId="25" borderId="35" xfId="1" applyNumberFormat="1" applyFont="1" applyFill="1" applyBorder="1" applyAlignment="1">
      <alignment vertical="center"/>
    </xf>
    <xf numFmtId="1" fontId="5" fillId="25" borderId="34" xfId="0" applyNumberFormat="1" applyFont="1" applyFill="1" applyBorder="1" applyAlignment="1">
      <alignment horizontal="center" vertical="center"/>
    </xf>
    <xf numFmtId="165" fontId="5" fillId="25" borderId="22" xfId="1" applyNumberFormat="1" applyFont="1" applyFill="1" applyBorder="1" applyAlignment="1">
      <alignment horizontal="center" vertical="center"/>
    </xf>
    <xf numFmtId="2" fontId="5" fillId="25" borderId="22" xfId="0" applyNumberFormat="1" applyFont="1" applyFill="1" applyBorder="1" applyAlignment="1">
      <alignment horizontal="center" vertical="center"/>
    </xf>
    <xf numFmtId="4" fontId="5" fillId="25" borderId="32" xfId="0" applyNumberFormat="1" applyFont="1" applyFill="1" applyBorder="1" applyAlignment="1">
      <alignment horizontal="center" vertical="center"/>
    </xf>
    <xf numFmtId="2" fontId="5" fillId="25" borderId="33" xfId="0" applyNumberFormat="1" applyFont="1" applyFill="1" applyBorder="1" applyAlignment="1">
      <alignment horizontal="center" vertical="center" wrapText="1"/>
    </xf>
    <xf numFmtId="2" fontId="5" fillId="25" borderId="40" xfId="0" applyNumberFormat="1" applyFont="1" applyFill="1" applyBorder="1" applyAlignment="1">
      <alignment horizontal="right" vertical="center"/>
    </xf>
    <xf numFmtId="2" fontId="5" fillId="25" borderId="21" xfId="0" applyNumberFormat="1" applyFont="1" applyFill="1" applyBorder="1" applyAlignment="1">
      <alignment horizontal="center" vertical="center"/>
    </xf>
    <xf numFmtId="4" fontId="8" fillId="25" borderId="32" xfId="0" applyNumberFormat="1" applyFont="1" applyFill="1" applyBorder="1" applyAlignment="1">
      <alignment horizontal="center" vertical="center"/>
    </xf>
    <xf numFmtId="2" fontId="0" fillId="24" borderId="11" xfId="0" applyNumberFormat="1" applyFill="1" applyBorder="1" applyAlignment="1">
      <alignment vertical="center"/>
    </xf>
    <xf numFmtId="0" fontId="15" fillId="24" borderId="33" xfId="0" applyFont="1" applyFill="1" applyBorder="1" applyAlignment="1">
      <alignment vertical="center"/>
    </xf>
    <xf numFmtId="0" fontId="15" fillId="24" borderId="34" xfId="0" applyFont="1" applyFill="1" applyBorder="1" applyAlignment="1">
      <alignment vertical="center"/>
    </xf>
    <xf numFmtId="166" fontId="5" fillId="24" borderId="33" xfId="1" applyNumberFormat="1" applyFont="1" applyFill="1" applyBorder="1" applyAlignment="1">
      <alignment horizontal="center" vertical="center"/>
    </xf>
    <xf numFmtId="0" fontId="0" fillId="24" borderId="34" xfId="0" applyFill="1" applyBorder="1" applyAlignment="1">
      <alignment vertical="center"/>
    </xf>
    <xf numFmtId="2" fontId="11" fillId="24" borderId="33" xfId="0" applyNumberFormat="1" applyFont="1" applyFill="1" applyBorder="1" applyAlignment="1">
      <alignment horizontal="center" vertical="center"/>
    </xf>
    <xf numFmtId="2" fontId="11" fillId="24" borderId="35" xfId="0" applyNumberFormat="1" applyFont="1" applyFill="1" applyBorder="1" applyAlignment="1">
      <alignment vertical="center"/>
    </xf>
    <xf numFmtId="165" fontId="11" fillId="24" borderId="35" xfId="1" applyNumberFormat="1" applyFont="1" applyFill="1" applyBorder="1" applyAlignment="1">
      <alignment vertical="center"/>
    </xf>
    <xf numFmtId="0" fontId="12" fillId="24" borderId="35" xfId="0" applyFont="1" applyFill="1" applyBorder="1" applyAlignment="1">
      <alignment vertical="center"/>
    </xf>
    <xf numFmtId="168" fontId="12" fillId="24" borderId="35" xfId="1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vertical="center"/>
    </xf>
    <xf numFmtId="165" fontId="5" fillId="4" borderId="1" xfId="1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4" fontId="5" fillId="4" borderId="41" xfId="1" applyNumberFormat="1" applyFont="1" applyFill="1" applyBorder="1" applyAlignment="1">
      <alignment vertical="center"/>
    </xf>
    <xf numFmtId="2" fontId="0" fillId="4" borderId="15" xfId="0" applyNumberFormat="1" applyFill="1" applyBorder="1" applyAlignment="1">
      <alignment vertical="center"/>
    </xf>
    <xf numFmtId="2" fontId="16" fillId="24" borderId="35" xfId="0" applyNumberFormat="1" applyFont="1" applyFill="1" applyBorder="1" applyAlignment="1">
      <alignment vertical="center"/>
    </xf>
    <xf numFmtId="2" fontId="14" fillId="24" borderId="35" xfId="0" applyNumberFormat="1" applyFont="1" applyFill="1" applyBorder="1" applyAlignment="1">
      <alignment vertical="center"/>
    </xf>
    <xf numFmtId="0" fontId="12" fillId="24" borderId="34" xfId="0" applyFont="1" applyFill="1" applyBorder="1" applyAlignment="1">
      <alignment horizontal="center" vertical="center"/>
    </xf>
    <xf numFmtId="2" fontId="8" fillId="26" borderId="34" xfId="0" applyNumberFormat="1" applyFont="1" applyFill="1" applyBorder="1" applyAlignment="1">
      <alignment horizontal="center" vertical="center"/>
    </xf>
    <xf numFmtId="4" fontId="8" fillId="26" borderId="9" xfId="0" applyNumberFormat="1" applyFont="1" applyFill="1" applyBorder="1" applyAlignment="1">
      <alignment horizontal="center" vertical="center"/>
    </xf>
    <xf numFmtId="0" fontId="0" fillId="11" borderId="52" xfId="0" applyFill="1" applyBorder="1" applyAlignment="1">
      <alignment vertical="center"/>
    </xf>
    <xf numFmtId="38" fontId="0" fillId="11" borderId="53" xfId="1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0" fillId="21" borderId="0" xfId="0" applyFill="1" applyAlignment="1">
      <alignment horizontal="center" vertical="center"/>
    </xf>
    <xf numFmtId="0" fontId="7" fillId="6" borderId="0" xfId="0" applyFont="1" applyFill="1" applyAlignment="1">
      <alignment horizontal="center"/>
    </xf>
    <xf numFmtId="0" fontId="4" fillId="24" borderId="33" xfId="0" applyFont="1" applyFill="1" applyBorder="1" applyAlignment="1">
      <alignment horizontal="center" vertical="center"/>
    </xf>
    <xf numFmtId="0" fontId="4" fillId="24" borderId="35" xfId="0" applyFont="1" applyFill="1" applyBorder="1" applyAlignment="1">
      <alignment horizontal="center" vertical="center"/>
    </xf>
    <xf numFmtId="0" fontId="4" fillId="24" borderId="34" xfId="0" applyFont="1" applyFill="1" applyBorder="1" applyAlignment="1">
      <alignment horizontal="center" vertical="center"/>
    </xf>
  </cellXfs>
  <cellStyles count="6">
    <cellStyle name="Migliaia" xfId="1" builtinId="3"/>
    <cellStyle name="Normale" xfId="0" builtinId="0"/>
    <cellStyle name="Normale 2" xfId="3" xr:uid="{00000000-0005-0000-0000-000002000000}"/>
    <cellStyle name="Normale 3" xfId="4" xr:uid="{00000000-0005-0000-0000-000003000000}"/>
    <cellStyle name="Normale 4" xfId="5" xr:uid="{00000000-0005-0000-0000-000004000000}"/>
    <cellStyle name="Percentuale" xfId="2" builtinId="5"/>
  </cellStyles>
  <dxfs count="0"/>
  <tableStyles count="0" defaultTableStyle="TableStyleMedium9" defaultPivotStyle="PivotStyleLight16"/>
  <colors>
    <mruColors>
      <color rgb="FF88E23E"/>
      <color rgb="FFFFFF00"/>
      <color rgb="FFFFFF99"/>
      <color rgb="FFFFFFCC"/>
      <color rgb="FFDA9446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6"/>
  <sheetViews>
    <sheetView showGridLines="0" tabSelected="1" zoomScale="90" zoomScaleNormal="90" workbookViewId="0">
      <pane ySplit="4" topLeftCell="A5" activePane="bottomLeft" state="frozen"/>
      <selection pane="bottomLeft" activeCell="B6" sqref="B6"/>
    </sheetView>
  </sheetViews>
  <sheetFormatPr defaultColWidth="9.140625" defaultRowHeight="12.75" x14ac:dyDescent="0.2"/>
  <cols>
    <col min="1" max="1" width="2.5703125" style="1" customWidth="1"/>
    <col min="2" max="2" width="78.85546875" style="1" bestFit="1" customWidth="1"/>
    <col min="3" max="3" width="8.7109375" style="1" customWidth="1"/>
    <col min="4" max="4" width="17" style="2" bestFit="1" customWidth="1"/>
    <col min="5" max="5" width="8.140625" style="2" bestFit="1" customWidth="1"/>
    <col min="6" max="6" width="6.140625" style="2" bestFit="1" customWidth="1"/>
    <col min="7" max="7" width="9.5703125" style="2" bestFit="1" customWidth="1"/>
    <col min="8" max="8" width="15.140625" style="3" bestFit="1" customWidth="1"/>
    <col min="9" max="9" width="7.85546875" style="2" bestFit="1" customWidth="1"/>
    <col min="10" max="10" width="7" style="4" customWidth="1"/>
    <col min="11" max="11" width="12" style="5" customWidth="1"/>
    <col min="12" max="12" width="9.42578125" style="1" customWidth="1"/>
    <col min="13" max="13" width="11.85546875" style="1" customWidth="1"/>
    <col min="14" max="14" width="9" style="15" hidden="1" customWidth="1"/>
    <col min="15" max="15" width="10.140625" style="1" hidden="1" customWidth="1"/>
    <col min="16" max="16" width="13" style="1" hidden="1" customWidth="1"/>
    <col min="17" max="17" width="12.28515625" style="1" hidden="1" customWidth="1"/>
    <col min="18" max="18" width="9.28515625" style="1" hidden="1" customWidth="1"/>
    <col min="19" max="19" width="12.85546875" style="1" hidden="1" customWidth="1"/>
    <col min="20" max="22" width="9" style="1" hidden="1" customWidth="1"/>
    <col min="23" max="23" width="9" style="1" customWidth="1"/>
    <col min="24" max="16384" width="9.140625" style="1"/>
  </cols>
  <sheetData>
    <row r="1" spans="2:20" ht="11.45" customHeight="1" thickBot="1" x14ac:dyDescent="0.25"/>
    <row r="2" spans="2:20" ht="43.5" customHeight="1" thickBot="1" x14ac:dyDescent="0.25">
      <c r="B2" s="375" t="s">
        <v>0</v>
      </c>
      <c r="C2" s="376"/>
      <c r="D2" s="377"/>
      <c r="E2" s="347"/>
      <c r="F2" s="254" t="s">
        <v>1</v>
      </c>
      <c r="G2" s="256">
        <v>100</v>
      </c>
      <c r="H2" s="350"/>
      <c r="I2" s="351"/>
      <c r="J2" s="344" t="s">
        <v>2</v>
      </c>
      <c r="K2" s="255">
        <v>0.6</v>
      </c>
      <c r="L2" s="348"/>
      <c r="M2" s="349"/>
    </row>
    <row r="3" spans="2:20" ht="25.15" hidden="1" customHeight="1" thickBot="1" x14ac:dyDescent="0.25">
      <c r="B3" s="54"/>
      <c r="H3" s="303"/>
      <c r="I3" s="303"/>
      <c r="M3" s="55"/>
    </row>
    <row r="4" spans="2:20" s="7" customFormat="1" ht="25.15" customHeight="1" thickBot="1" x14ac:dyDescent="0.25">
      <c r="B4" s="329" t="s">
        <v>3</v>
      </c>
      <c r="C4" s="330" t="s">
        <v>4</v>
      </c>
      <c r="D4" s="331" t="s">
        <v>5</v>
      </c>
      <c r="E4" s="331" t="s">
        <v>6</v>
      </c>
      <c r="F4" s="331" t="s">
        <v>7</v>
      </c>
      <c r="G4" s="332" t="s">
        <v>8</v>
      </c>
      <c r="H4" s="304"/>
      <c r="I4" s="305"/>
      <c r="J4" s="333" t="s">
        <v>10</v>
      </c>
      <c r="K4" s="331" t="s">
        <v>6</v>
      </c>
      <c r="L4" s="332" t="s">
        <v>8</v>
      </c>
      <c r="M4" s="317"/>
      <c r="N4" s="239"/>
      <c r="O4" s="115" t="s">
        <v>9</v>
      </c>
      <c r="P4" s="1"/>
      <c r="Q4" s="1"/>
      <c r="R4" s="1"/>
    </row>
    <row r="5" spans="2:20" ht="25.15" customHeight="1" x14ac:dyDescent="0.2">
      <c r="B5" s="259" t="s">
        <v>11</v>
      </c>
      <c r="C5" s="260" t="str">
        <f>VLOOKUP($B5,$B$28:$I$305,2,0)</f>
        <v>KG 25</v>
      </c>
      <c r="D5" s="263">
        <f>VLOOKUP($B5,$B$28:$I$305,3,0)</f>
        <v>26.5</v>
      </c>
      <c r="E5" s="261">
        <f>VLOOKUP($B5,$B$28:$I$305,4,0)</f>
        <v>9.5399999999999991</v>
      </c>
      <c r="F5" s="260">
        <f>VLOOKUP($B5,$B$28:$I$305,5,0)</f>
        <v>36</v>
      </c>
      <c r="G5" s="262">
        <f>VLOOKUP($B5,$B$28:$I$305,6,0)</f>
        <v>954</v>
      </c>
      <c r="H5" s="306"/>
      <c r="I5" s="305"/>
      <c r="J5" s="266">
        <f t="shared" ref="J5:K7" si="0">+D5*(1-$K$2)</f>
        <v>10.600000000000001</v>
      </c>
      <c r="K5" s="265">
        <f t="shared" si="0"/>
        <v>3.8159999999999998</v>
      </c>
      <c r="L5" s="262">
        <f>+G5*(1-$K$2)</f>
        <v>381.6</v>
      </c>
      <c r="M5" s="318"/>
      <c r="N5" s="61"/>
      <c r="O5" s="158">
        <f>+F5/42</f>
        <v>0.8571428571428571</v>
      </c>
    </row>
    <row r="6" spans="2:20" ht="25.15" customHeight="1" x14ac:dyDescent="0.2">
      <c r="B6" s="259" t="s">
        <v>12</v>
      </c>
      <c r="C6" s="260" t="str">
        <f>VLOOKUP($B6,$B$28:$I$305,2,0)</f>
        <v>LT 14</v>
      </c>
      <c r="D6" s="263">
        <f>VLOOKUP($B6,$B$28:$I$305,3,0)</f>
        <v>134.55000000000001</v>
      </c>
      <c r="E6" s="261">
        <f>VLOOKUP($B6,$B$28:$I$305,4,0)</f>
        <v>1.3455000000000001</v>
      </c>
      <c r="F6" s="264">
        <f>VLOOKUP($B6,$B$28:$I$305,5,0)</f>
        <v>1</v>
      </c>
      <c r="G6" s="262">
        <f>VLOOKUP($B6,$B$28:$I$305,6,0)</f>
        <v>134.55000000000001</v>
      </c>
      <c r="H6" s="306"/>
      <c r="I6" s="305"/>
      <c r="J6" s="266">
        <f t="shared" si="0"/>
        <v>53.820000000000007</v>
      </c>
      <c r="K6" s="265">
        <f t="shared" si="0"/>
        <v>0.53820000000000012</v>
      </c>
      <c r="L6" s="262">
        <f>+G6*(1-$K$2)</f>
        <v>53.820000000000007</v>
      </c>
      <c r="M6" s="318"/>
      <c r="N6" s="61"/>
      <c r="O6" s="158">
        <f>+F6/33</f>
        <v>3.0303030303030304E-2</v>
      </c>
    </row>
    <row r="7" spans="2:20" ht="25.15" customHeight="1" thickBot="1" x14ac:dyDescent="0.25">
      <c r="B7" s="259" t="s">
        <v>13</v>
      </c>
      <c r="C7" s="260" t="str">
        <f>VLOOKUP($B7,$B$28:$I$305,2,0)</f>
        <v>KG 24</v>
      </c>
      <c r="D7" s="265">
        <f>VLOOKUP($B7,$B$28:$I$305,3,0)</f>
        <v>83.5</v>
      </c>
      <c r="E7" s="261">
        <f>VLOOKUP($B7,$B$28:$I$305,4,0)</f>
        <v>7.6541666666666677</v>
      </c>
      <c r="F7" s="264">
        <f>VLOOKUP($B7,$B$28:$I$305,5,0)</f>
        <v>10</v>
      </c>
      <c r="G7" s="262">
        <f>VLOOKUP($B7,$B$28:$I$305,6,0)</f>
        <v>835</v>
      </c>
      <c r="H7" s="306"/>
      <c r="I7" s="305"/>
      <c r="J7" s="266">
        <f t="shared" si="0"/>
        <v>33.4</v>
      </c>
      <c r="K7" s="265">
        <f t="shared" si="0"/>
        <v>3.0616666666666674</v>
      </c>
      <c r="L7" s="262">
        <f>+G7*(1-$K$2)</f>
        <v>334</v>
      </c>
      <c r="M7" s="318"/>
      <c r="N7" s="61"/>
      <c r="O7" s="158">
        <f>+F7/33</f>
        <v>0.30303030303030304</v>
      </c>
    </row>
    <row r="8" spans="2:20" ht="25.15" customHeight="1" thickBot="1" x14ac:dyDescent="0.25">
      <c r="B8" s="85" t="s">
        <v>14</v>
      </c>
      <c r="C8" s="86"/>
      <c r="D8" s="202"/>
      <c r="E8" s="200">
        <f>SUM(E5:E7)</f>
        <v>18.539666666666665</v>
      </c>
      <c r="F8" s="203"/>
      <c r="G8" s="204">
        <f>SUM(G5:G7)</f>
        <v>1923.55</v>
      </c>
      <c r="H8" s="304"/>
      <c r="I8" s="305"/>
      <c r="J8" s="205"/>
      <c r="K8" s="200">
        <f>SUM(K5:K7)</f>
        <v>7.4158666666666671</v>
      </c>
      <c r="L8" s="299">
        <f>SUM(L5:L7)</f>
        <v>769.42000000000007</v>
      </c>
      <c r="M8" s="162">
        <f>+L8/G2</f>
        <v>7.6942000000000004</v>
      </c>
      <c r="N8" s="240"/>
      <c r="O8" s="159">
        <f>SUM(O5:O7)</f>
        <v>1.1904761904761905</v>
      </c>
    </row>
    <row r="9" spans="2:20" ht="40.9" customHeight="1" thickBot="1" x14ac:dyDescent="0.25">
      <c r="B9" s="301"/>
      <c r="C9" s="302"/>
      <c r="D9" s="334" t="s">
        <v>103</v>
      </c>
      <c r="E9" s="335"/>
      <c r="F9" s="336">
        <f>+O8+0</f>
        <v>1.1904761904761905</v>
      </c>
      <c r="G9" s="307">
        <v>100</v>
      </c>
      <c r="H9" s="343" t="s">
        <v>256</v>
      </c>
      <c r="I9" s="257">
        <v>0</v>
      </c>
      <c r="J9" s="334" t="s">
        <v>2</v>
      </c>
      <c r="K9" s="258">
        <v>0.6</v>
      </c>
      <c r="L9" s="319"/>
      <c r="M9" s="320"/>
      <c r="N9" s="14"/>
      <c r="O9" s="53"/>
      <c r="T9" s="250"/>
    </row>
    <row r="10" spans="2:20" ht="13.5" thickBot="1" x14ac:dyDescent="0.25">
      <c r="B10" s="207"/>
      <c r="C10" s="5"/>
      <c r="D10" s="5"/>
      <c r="E10" s="5"/>
      <c r="F10" s="5"/>
      <c r="G10" s="5"/>
      <c r="H10" s="206"/>
      <c r="I10" s="199"/>
      <c r="L10" s="193"/>
      <c r="M10" s="59"/>
      <c r="N10" s="206"/>
      <c r="R10" s="11"/>
      <c r="S10" s="369" t="s">
        <v>257</v>
      </c>
      <c r="T10" s="251"/>
    </row>
    <row r="11" spans="2:20" ht="25.15" customHeight="1" thickBot="1" x14ac:dyDescent="0.25">
      <c r="B11" s="267" t="s">
        <v>265</v>
      </c>
      <c r="C11" s="268">
        <f>VLOOKUP($B11,$B$27:$I$305,2,0)</f>
        <v>8</v>
      </c>
      <c r="D11" s="269">
        <f>VLOOKUP($B11,$B$27:$I$305,3,0)</f>
        <v>6.1333333333333337</v>
      </c>
      <c r="E11" s="269">
        <f>VLOOKUP($B11,$B$27:$I$305,4,0)</f>
        <v>12.266666666666667</v>
      </c>
      <c r="F11" s="268">
        <f>VLOOKUP($B11,$B$27:$I$305,5,0)</f>
        <v>200</v>
      </c>
      <c r="G11" s="270">
        <f>VLOOKUP($B11,$B$27:$I$305,6,0)</f>
        <v>1226.6666666666667</v>
      </c>
      <c r="H11" s="308" t="s">
        <v>255</v>
      </c>
      <c r="I11" s="309">
        <f>+G9-I9</f>
        <v>100</v>
      </c>
      <c r="J11" s="275">
        <f t="shared" ref="J11:K14" si="1">+D11*(1-$K$9)</f>
        <v>2.4533333333333336</v>
      </c>
      <c r="K11" s="276">
        <f>+E11*(1-$K$9)*I11/100</f>
        <v>4.9066666666666672</v>
      </c>
      <c r="L11" s="270">
        <f>+K11*G2</f>
        <v>490.66666666666674</v>
      </c>
      <c r="M11" s="321"/>
      <c r="N11" s="208"/>
      <c r="O11" s="165">
        <f>VLOOKUP($B11,$B$28:$O$305,10,0)</f>
        <v>1.84</v>
      </c>
      <c r="P11" s="166">
        <f>+O11*F11</f>
        <v>368</v>
      </c>
      <c r="Q11" s="166">
        <f t="shared" ref="Q11:Q14" si="2">+L11-P11</f>
        <v>122.66666666666674</v>
      </c>
      <c r="R11" s="249">
        <f t="shared" ref="R11:R14" si="3">+Q11/L11</f>
        <v>0.25000000000000011</v>
      </c>
      <c r="S11" s="370">
        <f>+Q11/((G2*C11)/100)</f>
        <v>15.333333333333343</v>
      </c>
      <c r="T11" s="252"/>
    </row>
    <row r="12" spans="2:20" ht="25.15" customHeight="1" x14ac:dyDescent="0.2">
      <c r="B12" s="371" t="s">
        <v>392</v>
      </c>
      <c r="C12" s="260" t="str">
        <f>VLOOKUP($B12,$B$28:$I$305,2,0)</f>
        <v>MQ 50</v>
      </c>
      <c r="D12" s="265">
        <f>VLOOKUP($B12,$B$28:$I$305,3,0)</f>
        <v>102.51</v>
      </c>
      <c r="E12" s="271">
        <f>VLOOKUP($B12,$B$28:$I$305,4,0)</f>
        <v>1.8638181818181818</v>
      </c>
      <c r="F12" s="264">
        <f>VLOOKUP($B12,$B$28:$I$305,5,0)</f>
        <v>2</v>
      </c>
      <c r="G12" s="262">
        <f>VLOOKUP($B12,$B$28:$I$305,6,0)</f>
        <v>205.02</v>
      </c>
      <c r="H12" s="310"/>
      <c r="I12" s="311"/>
      <c r="J12" s="266">
        <f t="shared" si="1"/>
        <v>41.004000000000005</v>
      </c>
      <c r="K12" s="265">
        <f t="shared" si="1"/>
        <v>0.74552727272727282</v>
      </c>
      <c r="L12" s="262">
        <f>+G12*(1-$K$9)</f>
        <v>82.00800000000001</v>
      </c>
      <c r="M12" s="322"/>
      <c r="N12" s="16"/>
      <c r="O12" s="167">
        <f>VLOOKUP($B12,$B$28:$O$305,10,0)</f>
        <v>29.5</v>
      </c>
      <c r="P12" s="168">
        <f>+O12*F12</f>
        <v>59</v>
      </c>
      <c r="Q12" s="168">
        <f t="shared" si="2"/>
        <v>23.00800000000001</v>
      </c>
      <c r="R12" s="169">
        <f t="shared" si="3"/>
        <v>0.2805579943420155</v>
      </c>
    </row>
    <row r="13" spans="2:20" ht="25.15" customHeight="1" x14ac:dyDescent="0.2">
      <c r="B13" s="259" t="s">
        <v>307</v>
      </c>
      <c r="C13" s="260" t="str">
        <f>VLOOKUP($B13,$B$28:$I$305,2,0)</f>
        <v>CM 17,5</v>
      </c>
      <c r="D13" s="265">
        <f>VLOOKUP($B13,$B$28:$I$305,3,0)</f>
        <v>0.51300000000000001</v>
      </c>
      <c r="E13" s="271">
        <f>VLOOKUP($B13,$B$28:$I$305,4,0)</f>
        <v>3.0780000000000003</v>
      </c>
      <c r="F13" s="264">
        <f>VLOOKUP($B13,$B$28:$I$305,5,0)</f>
        <v>600</v>
      </c>
      <c r="G13" s="262">
        <f>VLOOKUP($B13,$B$28:$I$305,6,0)</f>
        <v>307.8</v>
      </c>
      <c r="H13" s="310"/>
      <c r="I13" s="311"/>
      <c r="J13" s="277">
        <f t="shared" si="1"/>
        <v>0.20520000000000002</v>
      </c>
      <c r="K13" s="265">
        <f t="shared" si="1"/>
        <v>1.2312000000000003</v>
      </c>
      <c r="L13" s="262">
        <f>+G13*(1-$K$9)</f>
        <v>123.12</v>
      </c>
      <c r="M13" s="322"/>
      <c r="N13" s="16"/>
      <c r="O13" s="167">
        <f>VLOOKUP($B13,$B$28:$O$305,10,0)</f>
        <v>0.13244</v>
      </c>
      <c r="P13" s="168">
        <f t="shared" ref="P13" si="4">+O13*F13</f>
        <v>79.463999999999999</v>
      </c>
      <c r="Q13" s="168">
        <f t="shared" ref="Q13" si="5">+L13-P13</f>
        <v>43.656000000000006</v>
      </c>
      <c r="R13" s="169">
        <f t="shared" ref="R13" si="6">+Q13/L13</f>
        <v>0.35458089668615989</v>
      </c>
    </row>
    <row r="14" spans="2:20" ht="25.15" customHeight="1" thickBot="1" x14ac:dyDescent="0.25">
      <c r="B14" s="272" t="s">
        <v>137</v>
      </c>
      <c r="C14" s="273">
        <f>VLOOKUP($B14,$B$28:$I$305,2,0)</f>
        <v>0</v>
      </c>
      <c r="D14" s="274">
        <f>VLOOKUP($B14,$B$28:$I$305,3,0)</f>
        <v>0</v>
      </c>
      <c r="E14" s="274">
        <f>VLOOKUP($B14,$B$28:$I$305,4,0)</f>
        <v>0</v>
      </c>
      <c r="F14" s="273">
        <f>VLOOKUP($B14,$B$28:$I$305,5,0)</f>
        <v>0</v>
      </c>
      <c r="G14" s="262">
        <f>VLOOKUP($B14,$B$28:$I$305,6,0)</f>
        <v>0</v>
      </c>
      <c r="H14" s="312" t="s">
        <v>105</v>
      </c>
      <c r="I14" s="311"/>
      <c r="J14" s="278">
        <f t="shared" si="1"/>
        <v>0</v>
      </c>
      <c r="K14" s="279">
        <f t="shared" si="1"/>
        <v>0</v>
      </c>
      <c r="L14" s="280">
        <f>+G14*(1-$K$9)</f>
        <v>0</v>
      </c>
      <c r="M14" s="321"/>
      <c r="N14" s="208"/>
      <c r="O14" s="167">
        <f>VLOOKUP($B14,$B$28:$O$305,10,0)</f>
        <v>0</v>
      </c>
      <c r="P14" s="168">
        <f t="shared" ref="P14" si="7">+O14*F14</f>
        <v>0</v>
      </c>
      <c r="Q14" s="168">
        <f t="shared" si="2"/>
        <v>0</v>
      </c>
      <c r="R14" s="169" t="e">
        <f t="shared" si="3"/>
        <v>#DIV/0!</v>
      </c>
    </row>
    <row r="15" spans="2:20" ht="25.15" customHeight="1" thickBot="1" x14ac:dyDescent="0.25">
      <c r="B15" s="58" t="s">
        <v>15</v>
      </c>
      <c r="C15" s="9"/>
      <c r="D15" s="209"/>
      <c r="E15" s="201">
        <f>SUM(E11:E14)</f>
        <v>17.208484848484851</v>
      </c>
      <c r="F15" s="210"/>
      <c r="G15" s="211">
        <f>SUM(G11:G14)</f>
        <v>1739.4866666666667</v>
      </c>
      <c r="H15" s="313">
        <f>+G15/G2</f>
        <v>17.394866666666665</v>
      </c>
      <c r="I15" s="311"/>
      <c r="J15" s="212"/>
      <c r="K15" s="201">
        <f>SUM(K11:K14)</f>
        <v>6.8833939393939403</v>
      </c>
      <c r="L15" s="300">
        <f>SUM(L11:L14)</f>
        <v>695.79466666666679</v>
      </c>
      <c r="M15" s="162">
        <f>+L15/G2</f>
        <v>6.9579466666666683</v>
      </c>
      <c r="N15" s="241"/>
      <c r="O15" s="170">
        <f>SUM(O11:O14)</f>
        <v>31.472439999999999</v>
      </c>
      <c r="P15" s="171">
        <f>SUM(P11:P14)</f>
        <v>506.464</v>
      </c>
      <c r="Q15" s="171">
        <f>SUM(Q11:Q14)</f>
        <v>189.33066666666676</v>
      </c>
      <c r="R15" s="172">
        <f>+Q15/L15</f>
        <v>0.27210709672968664</v>
      </c>
    </row>
    <row r="16" spans="2:20" ht="25.15" customHeight="1" thickBot="1" x14ac:dyDescent="0.25">
      <c r="B16" s="340" t="s">
        <v>16</v>
      </c>
      <c r="C16" s="340"/>
      <c r="D16" s="340"/>
      <c r="E16" s="340">
        <f>+E15+E8</f>
        <v>35.74815151515152</v>
      </c>
      <c r="F16" s="341"/>
      <c r="G16" s="342">
        <f>+G8+G15</f>
        <v>3663.0366666666669</v>
      </c>
      <c r="H16" s="313">
        <f>+G16/G2</f>
        <v>36.630366666666667</v>
      </c>
      <c r="I16" s="311"/>
      <c r="J16" s="345"/>
      <c r="K16" s="340">
        <f>+K15+K8</f>
        <v>14.299260606060606</v>
      </c>
      <c r="L16" s="346">
        <f>+L8+L15</f>
        <v>1465.2146666666667</v>
      </c>
      <c r="M16" s="367">
        <f>+L16/G2</f>
        <v>14.652146666666667</v>
      </c>
      <c r="N16" s="242"/>
      <c r="O16" s="63" t="e">
        <f>+O15+#REF!</f>
        <v>#REF!</v>
      </c>
      <c r="P16" s="64">
        <f>+P8+P15</f>
        <v>506.464</v>
      </c>
      <c r="Q16" s="64">
        <f>+Q8+Q15</f>
        <v>189.33066666666676</v>
      </c>
      <c r="R16" s="65">
        <f>+Q16/L16</f>
        <v>0.12921701575468811</v>
      </c>
    </row>
    <row r="17" spans="2:18" s="15" customFormat="1" ht="31.15" customHeight="1" thickBot="1" x14ac:dyDescent="0.25">
      <c r="B17" s="324"/>
      <c r="C17" s="325"/>
      <c r="D17" s="337" t="s">
        <v>103</v>
      </c>
      <c r="E17" s="338"/>
      <c r="F17" s="339">
        <f>+Q19+0</f>
        <v>2.8571428571428572</v>
      </c>
      <c r="G17" s="323"/>
      <c r="H17" s="314"/>
      <c r="I17" s="314"/>
      <c r="J17" s="326"/>
      <c r="K17" s="327"/>
      <c r="L17" s="323"/>
      <c r="M17" s="328"/>
      <c r="P17" s="160" t="s">
        <v>112</v>
      </c>
      <c r="Q17" s="174" t="s">
        <v>110</v>
      </c>
      <c r="R17" s="175" t="s">
        <v>111</v>
      </c>
    </row>
    <row r="18" spans="2:18" ht="25.15" customHeight="1" thickBot="1" x14ac:dyDescent="0.25">
      <c r="B18" s="281" t="s">
        <v>78</v>
      </c>
      <c r="C18" s="282">
        <f>VLOOKUP(B11,$B$28:$L$158,11,0)</f>
        <v>8</v>
      </c>
      <c r="D18" s="283"/>
      <c r="E18" s="284">
        <f>VLOOKUP($B18,$B$28:$I$305,4,0)*C18</f>
        <v>0.64</v>
      </c>
      <c r="F18" s="285"/>
      <c r="G18" s="286">
        <f>+E18*G2*1.1</f>
        <v>70.400000000000006</v>
      </c>
      <c r="H18" s="315"/>
      <c r="I18" s="316"/>
      <c r="J18" s="293"/>
      <c r="K18" s="283"/>
      <c r="L18" s="294">
        <f>+G18</f>
        <v>70.400000000000006</v>
      </c>
      <c r="M18" s="328"/>
      <c r="P18" s="66" t="s">
        <v>101</v>
      </c>
      <c r="Q18" s="156" t="s">
        <v>109</v>
      </c>
      <c r="R18" s="66" t="s">
        <v>113</v>
      </c>
    </row>
    <row r="19" spans="2:18" ht="25.15" customHeight="1" thickBot="1" x14ac:dyDescent="0.25">
      <c r="B19" s="287" t="s">
        <v>258</v>
      </c>
      <c r="C19" s="288"/>
      <c r="D19" s="289">
        <f>VLOOKUP($B19,$B$28:$I$305,3,0)</f>
        <v>0.03</v>
      </c>
      <c r="E19" s="290"/>
      <c r="F19" s="291">
        <f>VLOOKUP($B5,$B$27:$K$305,9,0)+VLOOKUP($B6,$B$27:$K$305,9,0)+VLOOKUP($B7,$B$27:$K$305,9,0)</f>
        <v>1164</v>
      </c>
      <c r="G19" s="292">
        <f>+D19*F19</f>
        <v>34.92</v>
      </c>
      <c r="H19" s="315"/>
      <c r="I19" s="316"/>
      <c r="J19" s="295"/>
      <c r="K19" s="296"/>
      <c r="L19" s="297">
        <f>+G19</f>
        <v>34.92</v>
      </c>
      <c r="M19" s="328"/>
      <c r="P19" s="157">
        <f>+C18*G2/100</f>
        <v>8</v>
      </c>
      <c r="Q19" s="67">
        <f>+P19/2.8</f>
        <v>2.8571428571428572</v>
      </c>
      <c r="R19" s="176">
        <f>+P19/1.44</f>
        <v>5.5555555555555554</v>
      </c>
    </row>
    <row r="20" spans="2:18" ht="25.15" customHeight="1" thickBot="1" x14ac:dyDescent="0.25">
      <c r="B20" s="357" t="s">
        <v>17</v>
      </c>
      <c r="C20" s="358"/>
      <c r="D20" s="359"/>
      <c r="E20" s="360"/>
      <c r="F20" s="361"/>
      <c r="G20" s="362">
        <f>+G18+G19</f>
        <v>105.32000000000001</v>
      </c>
      <c r="H20" s="314">
        <f>+G20/G2</f>
        <v>1.0532000000000001</v>
      </c>
      <c r="I20" s="316"/>
      <c r="J20" s="363"/>
      <c r="K20" s="360"/>
      <c r="L20" s="298">
        <f>SUM(L17:L19)</f>
        <v>105.32000000000001</v>
      </c>
      <c r="M20" s="162">
        <f>+L20/G2</f>
        <v>1.0532000000000001</v>
      </c>
      <c r="N20" s="206"/>
    </row>
    <row r="21" spans="2:18" s="15" customFormat="1" ht="19.899999999999999" customHeight="1" thickBot="1" x14ac:dyDescent="0.25">
      <c r="B21" s="352"/>
      <c r="C21" s="353"/>
      <c r="D21" s="353"/>
      <c r="E21" s="354"/>
      <c r="F21" s="353"/>
      <c r="G21" s="355"/>
      <c r="H21" s="364">
        <f>+H16+H20</f>
        <v>37.683566666666664</v>
      </c>
      <c r="I21" s="365"/>
      <c r="J21" s="356"/>
      <c r="K21" s="366"/>
      <c r="L21" s="368">
        <f>+L16+L20</f>
        <v>1570.5346666666667</v>
      </c>
      <c r="M21" s="368">
        <f>+M16+M20</f>
        <v>15.705346666666667</v>
      </c>
      <c r="N21" s="242"/>
    </row>
    <row r="22" spans="2:18" s="15" customFormat="1" ht="19.899999999999999" hidden="1" customHeight="1" thickBot="1" x14ac:dyDescent="0.25">
      <c r="B22" s="60" t="s">
        <v>18</v>
      </c>
      <c r="C22" s="234" t="s">
        <v>19</v>
      </c>
      <c r="D22" s="206" t="s">
        <v>98</v>
      </c>
      <c r="E22" s="235" t="s">
        <v>99</v>
      </c>
      <c r="F22" s="206" t="s">
        <v>100</v>
      </c>
      <c r="G22" s="236" t="s">
        <v>101</v>
      </c>
      <c r="H22" s="10"/>
      <c r="I22" s="10"/>
      <c r="J22" s="237" t="s">
        <v>2</v>
      </c>
      <c r="K22" s="238">
        <v>0</v>
      </c>
      <c r="M22" s="236"/>
      <c r="N22" s="236"/>
      <c r="O22" s="151" t="s">
        <v>106</v>
      </c>
      <c r="P22" s="139" t="s">
        <v>107</v>
      </c>
      <c r="Q22" s="141" t="s">
        <v>104</v>
      </c>
    </row>
    <row r="23" spans="2:18" ht="19.899999999999999" hidden="1" customHeight="1" thickBot="1" x14ac:dyDescent="0.25">
      <c r="B23" s="214" t="s">
        <v>20</v>
      </c>
      <c r="C23" s="163">
        <v>100</v>
      </c>
      <c r="D23" s="68">
        <f>VLOOKUP($B23,$B$28:$I$305,3,0)</f>
        <v>17.166666666666668</v>
      </c>
      <c r="E23" s="68">
        <f>VLOOKUP($B23,$B$28:$I$305,4,0)</f>
        <v>34.333333333333336</v>
      </c>
      <c r="F23" s="69">
        <f>+C23*2</f>
        <v>200</v>
      </c>
      <c r="G23" s="77">
        <f>+F23*D23</f>
        <v>3433.3333333333335</v>
      </c>
      <c r="H23" s="13"/>
      <c r="I23" s="6" t="s">
        <v>105</v>
      </c>
      <c r="J23" s="153">
        <f>+D23*(1-$K$22)</f>
        <v>17.166666666666668</v>
      </c>
      <c r="K23" s="154">
        <f>+E23*(1-$K$22)</f>
        <v>34.333333333333336</v>
      </c>
      <c r="L23" s="89">
        <f>+G23*(1-$K$22)</f>
        <v>3433.3333333333335</v>
      </c>
      <c r="M23" s="162">
        <f>+L23/G2</f>
        <v>34.333333333333336</v>
      </c>
      <c r="N23" s="240"/>
      <c r="O23" s="152">
        <f>+J23*0.467</f>
        <v>8.0168333333333344</v>
      </c>
      <c r="P23" s="142">
        <f>+D23*0.4*F23*0.75</f>
        <v>1030</v>
      </c>
      <c r="Q23" s="140">
        <f>+L23-P23</f>
        <v>2403.3333333333335</v>
      </c>
      <c r="R23" s="173">
        <f>+Q23/P23</f>
        <v>2.3333333333333335</v>
      </c>
    </row>
    <row r="24" spans="2:18" ht="13.5" hidden="1" thickBot="1" x14ac:dyDescent="0.25">
      <c r="B24" s="74"/>
      <c r="C24" s="164"/>
      <c r="D24" s="75"/>
      <c r="E24" s="75"/>
      <c r="F24" s="75"/>
      <c r="G24" s="78"/>
      <c r="H24" s="76"/>
      <c r="I24" s="75"/>
      <c r="J24" s="153" t="s">
        <v>98</v>
      </c>
      <c r="K24" s="155" t="s">
        <v>99</v>
      </c>
      <c r="L24" s="70" t="s">
        <v>102</v>
      </c>
      <c r="M24" s="161">
        <f>+M21+M23</f>
        <v>50.038679999999999</v>
      </c>
      <c r="N24" s="243"/>
      <c r="O24" s="71" t="s">
        <v>108</v>
      </c>
      <c r="P24" s="71"/>
      <c r="Q24" s="71"/>
      <c r="R24" s="72"/>
    </row>
    <row r="25" spans="2:18" ht="13.5" hidden="1" thickBot="1" x14ac:dyDescent="0.25"/>
    <row r="26" spans="2:18" hidden="1" x14ac:dyDescent="0.2">
      <c r="B26" s="79" t="s">
        <v>21</v>
      </c>
      <c r="C26" s="80" t="s">
        <v>4</v>
      </c>
      <c r="D26" s="81" t="s">
        <v>10</v>
      </c>
      <c r="E26" s="81" t="s">
        <v>22</v>
      </c>
      <c r="F26" s="82" t="s">
        <v>7</v>
      </c>
      <c r="G26" s="83" t="s">
        <v>23</v>
      </c>
      <c r="H26" s="14"/>
      <c r="I26" s="2" t="s">
        <v>5</v>
      </c>
    </row>
    <row r="27" spans="2:18" ht="13.5" hidden="1" thickBot="1" x14ac:dyDescent="0.25">
      <c r="B27" s="90" t="s">
        <v>140</v>
      </c>
      <c r="C27"/>
      <c r="D27"/>
      <c r="E27"/>
      <c r="F27"/>
      <c r="G27" s="91"/>
      <c r="H27" s="18"/>
      <c r="K27" s="5" t="s">
        <v>24</v>
      </c>
      <c r="L27" s="5" t="s">
        <v>25</v>
      </c>
      <c r="M27" s="19" t="s">
        <v>26</v>
      </c>
      <c r="N27" s="244"/>
    </row>
    <row r="28" spans="2:18" ht="13.5" hidden="1" thickBot="1" x14ac:dyDescent="0.25">
      <c r="B28" s="131" t="s">
        <v>417</v>
      </c>
      <c r="C28" s="119">
        <v>4</v>
      </c>
      <c r="D28" s="132">
        <f>+((I28/100*C28)/2)*1.5/0.5/0.9</f>
        <v>3.8666666666666663</v>
      </c>
      <c r="E28" s="120">
        <f>D28*2</f>
        <v>7.7333333333333325</v>
      </c>
      <c r="F28" s="121">
        <f t="shared" ref="F28:F69" si="8">+$G$2*2</f>
        <v>200</v>
      </c>
      <c r="G28" s="122">
        <f t="shared" ref="G28:G101" si="9">ROUNDUP(F28,0)*D28</f>
        <v>773.33333333333326</v>
      </c>
      <c r="H28" s="123"/>
      <c r="I28" s="118">
        <v>58</v>
      </c>
      <c r="J28" s="3"/>
      <c r="K28" s="150">
        <f>+(I28/100)/2*C28</f>
        <v>1.1599999999999999</v>
      </c>
      <c r="L28" s="143">
        <v>4</v>
      </c>
      <c r="M28" s="144" t="s">
        <v>27</v>
      </c>
      <c r="O28" s="144" t="s">
        <v>28</v>
      </c>
      <c r="P28" s="144" t="s">
        <v>29</v>
      </c>
      <c r="Q28" s="144"/>
    </row>
    <row r="29" spans="2:18" ht="13.5" hidden="1" thickBot="1" x14ac:dyDescent="0.25">
      <c r="B29" s="93" t="s">
        <v>418</v>
      </c>
      <c r="C29" s="116">
        <v>5</v>
      </c>
      <c r="D29" s="23">
        <f t="shared" ref="D29:D69" si="10">+((I29/100*C29)/2)*1.5/0.5/0.9</f>
        <v>4.833333333333333</v>
      </c>
      <c r="E29" s="23">
        <f t="shared" ref="E29:E69" si="11">D29*2</f>
        <v>9.6666666666666661</v>
      </c>
      <c r="F29" s="24">
        <f t="shared" si="8"/>
        <v>200</v>
      </c>
      <c r="G29" s="94">
        <f t="shared" si="9"/>
        <v>966.66666666666663</v>
      </c>
      <c r="H29" s="13"/>
      <c r="I29" s="118">
        <v>58</v>
      </c>
      <c r="J29" s="3"/>
      <c r="K29" s="150">
        <f t="shared" ref="K29:K34" si="12">+(I29/100)/2*C29</f>
        <v>1.45</v>
      </c>
      <c r="L29" s="143">
        <v>5</v>
      </c>
      <c r="M29" s="144" t="s">
        <v>27</v>
      </c>
      <c r="O29" s="144"/>
      <c r="P29" s="144"/>
      <c r="Q29" s="144"/>
    </row>
    <row r="30" spans="2:18" ht="13.5" hidden="1" thickBot="1" x14ac:dyDescent="0.25">
      <c r="B30" s="93" t="s">
        <v>419</v>
      </c>
      <c r="C30" s="117">
        <v>6</v>
      </c>
      <c r="D30" s="23">
        <f t="shared" si="10"/>
        <v>5.7999999999999989</v>
      </c>
      <c r="E30" s="23">
        <f t="shared" si="11"/>
        <v>11.599999999999998</v>
      </c>
      <c r="F30" s="24">
        <f t="shared" si="8"/>
        <v>200</v>
      </c>
      <c r="G30" s="94">
        <f t="shared" si="9"/>
        <v>1159.9999999999998</v>
      </c>
      <c r="H30" s="13"/>
      <c r="I30" s="118">
        <v>58</v>
      </c>
      <c r="J30" s="3"/>
      <c r="K30" s="150">
        <f t="shared" si="12"/>
        <v>1.7399999999999998</v>
      </c>
      <c r="L30" s="143">
        <v>6</v>
      </c>
      <c r="M30" s="144" t="s">
        <v>27</v>
      </c>
      <c r="O30" s="144"/>
      <c r="P30" s="144"/>
      <c r="Q30" s="144"/>
    </row>
    <row r="31" spans="2:18" ht="13.5" hidden="1" thickBot="1" x14ac:dyDescent="0.25">
      <c r="B31" s="93" t="s">
        <v>420</v>
      </c>
      <c r="C31" s="117">
        <v>8</v>
      </c>
      <c r="D31" s="23">
        <f t="shared" si="10"/>
        <v>7.7333333333333325</v>
      </c>
      <c r="E31" s="23">
        <f t="shared" si="11"/>
        <v>15.466666666666665</v>
      </c>
      <c r="F31" s="24">
        <f t="shared" si="8"/>
        <v>200</v>
      </c>
      <c r="G31" s="94">
        <f t="shared" si="9"/>
        <v>1546.6666666666665</v>
      </c>
      <c r="H31" s="13"/>
      <c r="I31" s="118">
        <v>58</v>
      </c>
      <c r="J31" s="3"/>
      <c r="K31" s="150">
        <f t="shared" si="12"/>
        <v>2.3199999999999998</v>
      </c>
      <c r="L31" s="143">
        <v>8</v>
      </c>
      <c r="M31" s="144" t="s">
        <v>27</v>
      </c>
      <c r="O31" s="144"/>
      <c r="P31" s="144"/>
      <c r="Q31" s="144"/>
    </row>
    <row r="32" spans="2:18" ht="13.5" hidden="1" thickBot="1" x14ac:dyDescent="0.25">
      <c r="B32" s="93" t="s">
        <v>421</v>
      </c>
      <c r="C32" s="117">
        <v>10</v>
      </c>
      <c r="D32" s="23">
        <f t="shared" si="10"/>
        <v>9.6666666666666661</v>
      </c>
      <c r="E32" s="23">
        <f t="shared" si="11"/>
        <v>19.333333333333332</v>
      </c>
      <c r="F32" s="24">
        <f t="shared" si="8"/>
        <v>200</v>
      </c>
      <c r="G32" s="94">
        <f t="shared" si="9"/>
        <v>1933.3333333333333</v>
      </c>
      <c r="H32" s="13"/>
      <c r="I32" s="118">
        <v>58</v>
      </c>
      <c r="J32" s="3"/>
      <c r="K32" s="150">
        <f t="shared" si="12"/>
        <v>2.9</v>
      </c>
      <c r="L32" s="143">
        <v>10</v>
      </c>
      <c r="M32" s="144" t="s">
        <v>27</v>
      </c>
      <c r="O32" s="144"/>
      <c r="P32" s="144"/>
      <c r="Q32" s="144"/>
    </row>
    <row r="33" spans="2:17" ht="13.5" hidden="1" thickBot="1" x14ac:dyDescent="0.25">
      <c r="B33" s="93" t="s">
        <v>422</v>
      </c>
      <c r="C33" s="117">
        <v>12</v>
      </c>
      <c r="D33" s="23">
        <f t="shared" si="10"/>
        <v>11.599999999999998</v>
      </c>
      <c r="E33" s="23">
        <f t="shared" si="11"/>
        <v>23.199999999999996</v>
      </c>
      <c r="F33" s="24">
        <f t="shared" si="8"/>
        <v>200</v>
      </c>
      <c r="G33" s="94">
        <f t="shared" si="9"/>
        <v>2319.9999999999995</v>
      </c>
      <c r="H33" s="13"/>
      <c r="I33" s="118">
        <v>58</v>
      </c>
      <c r="J33" s="3"/>
      <c r="K33" s="150">
        <f t="shared" si="12"/>
        <v>3.4799999999999995</v>
      </c>
      <c r="L33" s="143">
        <v>12</v>
      </c>
      <c r="M33" s="144" t="s">
        <v>27</v>
      </c>
      <c r="O33" s="144"/>
      <c r="P33" s="144"/>
      <c r="Q33" s="144"/>
    </row>
    <row r="34" spans="2:17" ht="13.5" hidden="1" thickBot="1" x14ac:dyDescent="0.25">
      <c r="B34" s="93" t="s">
        <v>423</v>
      </c>
      <c r="C34" s="124">
        <v>14</v>
      </c>
      <c r="D34" s="125">
        <f t="shared" si="10"/>
        <v>13.533333333333333</v>
      </c>
      <c r="E34" s="125">
        <f t="shared" si="11"/>
        <v>27.066666666666666</v>
      </c>
      <c r="F34" s="113">
        <f t="shared" si="8"/>
        <v>200</v>
      </c>
      <c r="G34" s="126">
        <f t="shared" si="9"/>
        <v>2706.6666666666665</v>
      </c>
      <c r="H34" s="127"/>
      <c r="I34" s="118">
        <v>58</v>
      </c>
      <c r="J34" s="3"/>
      <c r="K34" s="150">
        <f t="shared" si="12"/>
        <v>4.0599999999999996</v>
      </c>
      <c r="L34" s="143">
        <v>14</v>
      </c>
      <c r="M34" s="144" t="s">
        <v>27</v>
      </c>
      <c r="O34" s="144"/>
      <c r="P34" s="144"/>
      <c r="Q34" s="144"/>
    </row>
    <row r="35" spans="2:17" ht="13.5" hidden="1" thickBot="1" x14ac:dyDescent="0.25">
      <c r="B35" s="131" t="s">
        <v>424</v>
      </c>
      <c r="C35" s="119">
        <v>4</v>
      </c>
      <c r="D35" s="132">
        <f>+((I35/100*C35)/2)*1.5/0.5/0.9</f>
        <v>3.4666666666666668</v>
      </c>
      <c r="E35" s="120">
        <f>D35*2</f>
        <v>6.9333333333333336</v>
      </c>
      <c r="F35" s="121">
        <f t="shared" si="8"/>
        <v>200</v>
      </c>
      <c r="G35" s="122">
        <f t="shared" ref="G35:G41" si="13">ROUNDUP(F35,0)*D35</f>
        <v>693.33333333333337</v>
      </c>
      <c r="H35" s="123"/>
      <c r="I35" s="118">
        <v>52</v>
      </c>
      <c r="J35" s="3"/>
      <c r="K35" s="150">
        <f>+(I35/100)/2*C35</f>
        <v>1.04</v>
      </c>
      <c r="L35" s="143">
        <v>4</v>
      </c>
      <c r="M35" s="144" t="s">
        <v>27</v>
      </c>
      <c r="O35" s="144" t="s">
        <v>28</v>
      </c>
      <c r="P35" s="144" t="s">
        <v>29</v>
      </c>
      <c r="Q35" s="144"/>
    </row>
    <row r="36" spans="2:17" ht="13.5" hidden="1" thickBot="1" x14ac:dyDescent="0.25">
      <c r="B36" s="93" t="s">
        <v>425</v>
      </c>
      <c r="C36" s="116">
        <v>5</v>
      </c>
      <c r="D36" s="23">
        <f t="shared" ref="D36:D41" si="14">+((I36/100*C36)/2)*1.5/0.5/0.9</f>
        <v>4.3333333333333339</v>
      </c>
      <c r="E36" s="23">
        <f t="shared" ref="E36:E41" si="15">D36*2</f>
        <v>8.6666666666666679</v>
      </c>
      <c r="F36" s="24">
        <f t="shared" si="8"/>
        <v>200</v>
      </c>
      <c r="G36" s="94">
        <f t="shared" si="13"/>
        <v>866.66666666666674</v>
      </c>
      <c r="H36" s="13"/>
      <c r="I36" s="118">
        <v>52</v>
      </c>
      <c r="J36" s="3"/>
      <c r="K36" s="150">
        <f t="shared" ref="K36:K41" si="16">+(I36/100)/2*C36</f>
        <v>1.3</v>
      </c>
      <c r="L36" s="143">
        <v>5</v>
      </c>
      <c r="M36" s="144" t="s">
        <v>27</v>
      </c>
      <c r="O36" s="144"/>
      <c r="P36" s="144"/>
      <c r="Q36" s="144"/>
    </row>
    <row r="37" spans="2:17" ht="13.5" hidden="1" thickBot="1" x14ac:dyDescent="0.25">
      <c r="B37" s="93" t="s">
        <v>426</v>
      </c>
      <c r="C37" s="117">
        <v>6</v>
      </c>
      <c r="D37" s="23">
        <f t="shared" si="14"/>
        <v>5.1999999999999993</v>
      </c>
      <c r="E37" s="23">
        <f t="shared" si="15"/>
        <v>10.399999999999999</v>
      </c>
      <c r="F37" s="24">
        <f t="shared" si="8"/>
        <v>200</v>
      </c>
      <c r="G37" s="94">
        <f t="shared" si="13"/>
        <v>1039.9999999999998</v>
      </c>
      <c r="H37" s="13"/>
      <c r="I37" s="118">
        <v>52</v>
      </c>
      <c r="J37" s="3"/>
      <c r="K37" s="150">
        <f t="shared" si="16"/>
        <v>1.56</v>
      </c>
      <c r="L37" s="143">
        <v>6</v>
      </c>
      <c r="M37" s="144" t="s">
        <v>27</v>
      </c>
      <c r="O37" s="144"/>
      <c r="P37" s="144"/>
      <c r="Q37" s="144"/>
    </row>
    <row r="38" spans="2:17" ht="13.5" hidden="1" thickBot="1" x14ac:dyDescent="0.25">
      <c r="B38" s="93" t="s">
        <v>427</v>
      </c>
      <c r="C38" s="117">
        <v>8</v>
      </c>
      <c r="D38" s="23">
        <f t="shared" si="14"/>
        <v>6.9333333333333336</v>
      </c>
      <c r="E38" s="23">
        <f t="shared" si="15"/>
        <v>13.866666666666667</v>
      </c>
      <c r="F38" s="24">
        <f t="shared" si="8"/>
        <v>200</v>
      </c>
      <c r="G38" s="94">
        <f t="shared" si="13"/>
        <v>1386.6666666666667</v>
      </c>
      <c r="H38" s="13"/>
      <c r="I38" s="118">
        <v>52</v>
      </c>
      <c r="J38" s="3"/>
      <c r="K38" s="150">
        <f t="shared" si="16"/>
        <v>2.08</v>
      </c>
      <c r="L38" s="143">
        <v>8</v>
      </c>
      <c r="M38" s="144" t="s">
        <v>27</v>
      </c>
      <c r="O38" s="144"/>
      <c r="P38" s="144"/>
      <c r="Q38" s="144"/>
    </row>
    <row r="39" spans="2:17" ht="13.5" hidden="1" thickBot="1" x14ac:dyDescent="0.25">
      <c r="B39" s="93" t="s">
        <v>428</v>
      </c>
      <c r="C39" s="117">
        <v>10</v>
      </c>
      <c r="D39" s="23">
        <f t="shared" si="14"/>
        <v>8.6666666666666679</v>
      </c>
      <c r="E39" s="23">
        <f t="shared" si="15"/>
        <v>17.333333333333336</v>
      </c>
      <c r="F39" s="24">
        <f t="shared" si="8"/>
        <v>200</v>
      </c>
      <c r="G39" s="94">
        <f t="shared" si="13"/>
        <v>1733.3333333333335</v>
      </c>
      <c r="H39" s="13"/>
      <c r="I39" s="118">
        <v>52</v>
      </c>
      <c r="J39" s="3"/>
      <c r="K39" s="150">
        <f t="shared" si="16"/>
        <v>2.6</v>
      </c>
      <c r="L39" s="143">
        <v>10</v>
      </c>
      <c r="M39" s="144" t="s">
        <v>27</v>
      </c>
      <c r="O39" s="144"/>
      <c r="P39" s="144"/>
      <c r="Q39" s="144"/>
    </row>
    <row r="40" spans="2:17" ht="13.5" hidden="1" thickBot="1" x14ac:dyDescent="0.25">
      <c r="B40" s="93" t="s">
        <v>429</v>
      </c>
      <c r="C40" s="117">
        <v>12</v>
      </c>
      <c r="D40" s="23">
        <f t="shared" si="14"/>
        <v>10.399999999999999</v>
      </c>
      <c r="E40" s="23">
        <f t="shared" si="15"/>
        <v>20.799999999999997</v>
      </c>
      <c r="F40" s="24">
        <f t="shared" si="8"/>
        <v>200</v>
      </c>
      <c r="G40" s="94">
        <f t="shared" si="13"/>
        <v>2079.9999999999995</v>
      </c>
      <c r="H40" s="13"/>
      <c r="I40" s="118">
        <v>52</v>
      </c>
      <c r="J40" s="3"/>
      <c r="K40" s="150">
        <f t="shared" si="16"/>
        <v>3.12</v>
      </c>
      <c r="L40" s="143">
        <v>12</v>
      </c>
      <c r="M40" s="144" t="s">
        <v>27</v>
      </c>
      <c r="O40" s="144"/>
      <c r="P40" s="144"/>
      <c r="Q40" s="144"/>
    </row>
    <row r="41" spans="2:17" ht="13.5" hidden="1" thickBot="1" x14ac:dyDescent="0.25">
      <c r="B41" s="93" t="s">
        <v>430</v>
      </c>
      <c r="C41" s="124">
        <v>14</v>
      </c>
      <c r="D41" s="125">
        <f t="shared" si="14"/>
        <v>12.133333333333333</v>
      </c>
      <c r="E41" s="125">
        <f t="shared" si="15"/>
        <v>24.266666666666666</v>
      </c>
      <c r="F41" s="113">
        <f t="shared" si="8"/>
        <v>200</v>
      </c>
      <c r="G41" s="126">
        <f t="shared" si="13"/>
        <v>2426.6666666666665</v>
      </c>
      <c r="H41" s="127"/>
      <c r="I41" s="118">
        <v>52</v>
      </c>
      <c r="J41" s="3"/>
      <c r="K41" s="150">
        <f t="shared" si="16"/>
        <v>3.64</v>
      </c>
      <c r="L41" s="143">
        <v>14</v>
      </c>
      <c r="M41" s="144" t="s">
        <v>27</v>
      </c>
      <c r="O41" s="144"/>
      <c r="P41" s="144"/>
      <c r="Q41" s="144"/>
    </row>
    <row r="42" spans="2:17" ht="13.5" hidden="1" thickBot="1" x14ac:dyDescent="0.25">
      <c r="B42" s="246" t="s">
        <v>249</v>
      </c>
      <c r="C42" s="119">
        <v>4</v>
      </c>
      <c r="D42" s="132">
        <f>+((I42/100*C42)/2)*1.5/0.5/0.9</f>
        <v>9.0000000000000018</v>
      </c>
      <c r="E42" s="120">
        <f>D42*2</f>
        <v>18.000000000000004</v>
      </c>
      <c r="F42" s="121">
        <f t="shared" si="8"/>
        <v>200</v>
      </c>
      <c r="G42" s="122">
        <f t="shared" ref="G42:G48" si="17">ROUNDUP(F42,0)*D42</f>
        <v>1800.0000000000005</v>
      </c>
      <c r="H42" s="123"/>
      <c r="I42" s="118">
        <v>135</v>
      </c>
      <c r="J42" s="3"/>
      <c r="K42" s="150">
        <f>+(I42/100)/2*C42</f>
        <v>2.7</v>
      </c>
      <c r="L42" s="143">
        <v>4</v>
      </c>
      <c r="M42" s="144" t="s">
        <v>27</v>
      </c>
      <c r="O42" s="144" t="s">
        <v>28</v>
      </c>
      <c r="P42" s="144" t="s">
        <v>29</v>
      </c>
      <c r="Q42" s="144"/>
    </row>
    <row r="43" spans="2:17" ht="13.5" hidden="1" thickBot="1" x14ac:dyDescent="0.25">
      <c r="B43" s="247" t="s">
        <v>250</v>
      </c>
      <c r="C43" s="116">
        <v>5</v>
      </c>
      <c r="D43" s="23">
        <f t="shared" ref="D43:D48" si="18">+((I43/100*C43)/2)*1.5/0.5/0.9</f>
        <v>11.25</v>
      </c>
      <c r="E43" s="23">
        <f t="shared" ref="E43:E48" si="19">D43*2</f>
        <v>22.5</v>
      </c>
      <c r="F43" s="24">
        <f t="shared" si="8"/>
        <v>200</v>
      </c>
      <c r="G43" s="94">
        <f t="shared" si="17"/>
        <v>2250</v>
      </c>
      <c r="H43" s="13"/>
      <c r="I43" s="118">
        <v>135</v>
      </c>
      <c r="J43" s="3"/>
      <c r="K43" s="150">
        <f t="shared" ref="K43:K48" si="20">+(I43/100)/2*C43</f>
        <v>3.375</v>
      </c>
      <c r="L43" s="143">
        <v>5</v>
      </c>
      <c r="M43" s="144" t="s">
        <v>27</v>
      </c>
      <c r="O43" s="144"/>
      <c r="P43" s="144"/>
      <c r="Q43" s="144"/>
    </row>
    <row r="44" spans="2:17" ht="13.5" hidden="1" thickBot="1" x14ac:dyDescent="0.25">
      <c r="B44" s="247" t="s">
        <v>251</v>
      </c>
      <c r="C44" s="117">
        <v>6</v>
      </c>
      <c r="D44" s="23">
        <f t="shared" si="18"/>
        <v>13.500000000000002</v>
      </c>
      <c r="E44" s="23">
        <f t="shared" si="19"/>
        <v>27.000000000000004</v>
      </c>
      <c r="F44" s="24">
        <f t="shared" si="8"/>
        <v>200</v>
      </c>
      <c r="G44" s="94">
        <f t="shared" si="17"/>
        <v>2700.0000000000005</v>
      </c>
      <c r="H44" s="13"/>
      <c r="I44" s="118">
        <v>135</v>
      </c>
      <c r="J44" s="3"/>
      <c r="K44" s="150">
        <f t="shared" si="20"/>
        <v>4.0500000000000007</v>
      </c>
      <c r="L44" s="143">
        <v>6</v>
      </c>
      <c r="M44" s="144" t="s">
        <v>27</v>
      </c>
      <c r="O44" s="144"/>
      <c r="P44" s="144"/>
      <c r="Q44" s="144"/>
    </row>
    <row r="45" spans="2:17" ht="13.5" hidden="1" thickBot="1" x14ac:dyDescent="0.25">
      <c r="B45" s="247" t="s">
        <v>252</v>
      </c>
      <c r="C45" s="117">
        <v>8</v>
      </c>
      <c r="D45" s="23">
        <f t="shared" si="18"/>
        <v>18.000000000000004</v>
      </c>
      <c r="E45" s="23">
        <f t="shared" si="19"/>
        <v>36.000000000000007</v>
      </c>
      <c r="F45" s="24">
        <f t="shared" si="8"/>
        <v>200</v>
      </c>
      <c r="G45" s="94">
        <f t="shared" si="17"/>
        <v>3600.0000000000009</v>
      </c>
      <c r="H45" s="13"/>
      <c r="I45" s="118">
        <v>135</v>
      </c>
      <c r="J45" s="3"/>
      <c r="K45" s="150">
        <f t="shared" si="20"/>
        <v>5.4</v>
      </c>
      <c r="L45" s="143">
        <v>8</v>
      </c>
      <c r="M45" s="144" t="s">
        <v>27</v>
      </c>
      <c r="O45" s="144"/>
      <c r="P45" s="144"/>
      <c r="Q45" s="144"/>
    </row>
    <row r="46" spans="2:17" ht="13.5" hidden="1" thickBot="1" x14ac:dyDescent="0.25">
      <c r="B46" s="247" t="s">
        <v>253</v>
      </c>
      <c r="C46" s="117">
        <v>10</v>
      </c>
      <c r="D46" s="23">
        <f t="shared" si="18"/>
        <v>22.5</v>
      </c>
      <c r="E46" s="23">
        <f t="shared" si="19"/>
        <v>45</v>
      </c>
      <c r="F46" s="24">
        <f t="shared" si="8"/>
        <v>200</v>
      </c>
      <c r="G46" s="94">
        <f t="shared" si="17"/>
        <v>4500</v>
      </c>
      <c r="H46" s="13"/>
      <c r="I46" s="118">
        <v>135</v>
      </c>
      <c r="J46" s="3"/>
      <c r="K46" s="150">
        <f t="shared" si="20"/>
        <v>6.75</v>
      </c>
      <c r="L46" s="143">
        <v>10</v>
      </c>
      <c r="M46" s="144" t="s">
        <v>27</v>
      </c>
      <c r="O46" s="144"/>
      <c r="P46" s="144"/>
      <c r="Q46" s="144"/>
    </row>
    <row r="47" spans="2:17" ht="13.5" hidden="1" thickBot="1" x14ac:dyDescent="0.25">
      <c r="B47" s="247" t="s">
        <v>254</v>
      </c>
      <c r="C47" s="117">
        <v>12</v>
      </c>
      <c r="D47" s="23">
        <f t="shared" si="18"/>
        <v>27.000000000000004</v>
      </c>
      <c r="E47" s="23">
        <f t="shared" si="19"/>
        <v>54.000000000000007</v>
      </c>
      <c r="F47" s="24">
        <f t="shared" si="8"/>
        <v>200</v>
      </c>
      <c r="G47" s="94">
        <f t="shared" si="17"/>
        <v>5400.0000000000009</v>
      </c>
      <c r="H47" s="13"/>
      <c r="I47" s="118">
        <v>135</v>
      </c>
      <c r="J47" s="3"/>
      <c r="K47" s="150">
        <f t="shared" si="20"/>
        <v>8.1000000000000014</v>
      </c>
      <c r="L47" s="143">
        <v>12</v>
      </c>
      <c r="M47" s="144" t="s">
        <v>27</v>
      </c>
      <c r="O47" s="144"/>
      <c r="P47" s="144"/>
      <c r="Q47" s="144"/>
    </row>
    <row r="48" spans="2:17" ht="13.5" hidden="1" thickBot="1" x14ac:dyDescent="0.25">
      <c r="B48" s="248" t="s">
        <v>254</v>
      </c>
      <c r="C48" s="124">
        <v>14</v>
      </c>
      <c r="D48" s="125">
        <f t="shared" si="18"/>
        <v>31.5</v>
      </c>
      <c r="E48" s="125">
        <f t="shared" si="19"/>
        <v>63</v>
      </c>
      <c r="F48" s="113">
        <f t="shared" si="8"/>
        <v>200</v>
      </c>
      <c r="G48" s="126">
        <f t="shared" si="17"/>
        <v>6300</v>
      </c>
      <c r="H48" s="127"/>
      <c r="I48" s="118">
        <v>135</v>
      </c>
      <c r="J48" s="3"/>
      <c r="K48" s="150">
        <f t="shared" si="20"/>
        <v>9.4500000000000011</v>
      </c>
      <c r="L48" s="143">
        <v>14</v>
      </c>
      <c r="M48" s="144" t="s">
        <v>27</v>
      </c>
      <c r="O48" s="144"/>
      <c r="P48" s="144"/>
      <c r="Q48" s="144"/>
    </row>
    <row r="49" spans="2:17" ht="13.5" hidden="1" thickBot="1" x14ac:dyDescent="0.25">
      <c r="B49" s="95" t="s">
        <v>262</v>
      </c>
      <c r="C49" s="119">
        <v>4</v>
      </c>
      <c r="D49" s="120">
        <f t="shared" si="10"/>
        <v>3.0666666666666669</v>
      </c>
      <c r="E49" s="120">
        <f>D49*2</f>
        <v>6.1333333333333337</v>
      </c>
      <c r="F49" s="121">
        <f t="shared" si="8"/>
        <v>200</v>
      </c>
      <c r="G49" s="122">
        <f t="shared" si="9"/>
        <v>613.33333333333337</v>
      </c>
      <c r="H49" s="123"/>
      <c r="I49" s="118">
        <v>46</v>
      </c>
      <c r="J49" s="3"/>
      <c r="K49" s="150">
        <f>+(I49/100)/2*C49</f>
        <v>0.92</v>
      </c>
      <c r="L49" s="143">
        <v>4</v>
      </c>
      <c r="M49" s="144" t="s">
        <v>27</v>
      </c>
      <c r="O49" s="144" t="s">
        <v>28</v>
      </c>
      <c r="P49" s="144" t="s">
        <v>29</v>
      </c>
      <c r="Q49" s="144"/>
    </row>
    <row r="50" spans="2:17" ht="13.5" hidden="1" thickBot="1" x14ac:dyDescent="0.25">
      <c r="B50" s="95" t="s">
        <v>263</v>
      </c>
      <c r="C50" s="116">
        <v>5</v>
      </c>
      <c r="D50" s="23">
        <f t="shared" si="10"/>
        <v>3.8333333333333335</v>
      </c>
      <c r="E50" s="23">
        <f t="shared" ref="E50:E62" si="21">D50*2</f>
        <v>7.666666666666667</v>
      </c>
      <c r="F50" s="24">
        <f t="shared" si="8"/>
        <v>200</v>
      </c>
      <c r="G50" s="94">
        <f t="shared" si="9"/>
        <v>766.66666666666674</v>
      </c>
      <c r="H50" s="13"/>
      <c r="I50" s="118">
        <v>46</v>
      </c>
      <c r="J50" s="3"/>
      <c r="K50" s="150">
        <f t="shared" ref="K50:K55" si="22">+(I50/100)/2*C50</f>
        <v>1.1500000000000001</v>
      </c>
      <c r="L50" s="143">
        <v>5</v>
      </c>
      <c r="M50" s="144" t="s">
        <v>27</v>
      </c>
      <c r="O50" s="144"/>
      <c r="P50" s="144"/>
      <c r="Q50" s="144"/>
    </row>
    <row r="51" spans="2:17" ht="13.5" hidden="1" thickBot="1" x14ac:dyDescent="0.25">
      <c r="B51" s="95" t="s">
        <v>264</v>
      </c>
      <c r="C51" s="117">
        <v>6</v>
      </c>
      <c r="D51" s="23">
        <f t="shared" si="10"/>
        <v>4.6000000000000005</v>
      </c>
      <c r="E51" s="23">
        <f t="shared" si="21"/>
        <v>9.2000000000000011</v>
      </c>
      <c r="F51" s="24">
        <f t="shared" si="8"/>
        <v>200</v>
      </c>
      <c r="G51" s="94">
        <f t="shared" si="9"/>
        <v>920.00000000000011</v>
      </c>
      <c r="H51" s="13"/>
      <c r="I51" s="118">
        <v>46</v>
      </c>
      <c r="J51" s="3"/>
      <c r="K51" s="150">
        <f t="shared" si="22"/>
        <v>1.3800000000000001</v>
      </c>
      <c r="L51" s="143">
        <v>6</v>
      </c>
      <c r="M51" s="144" t="s">
        <v>27</v>
      </c>
      <c r="O51" s="144"/>
      <c r="P51" s="144"/>
      <c r="Q51" s="144"/>
    </row>
    <row r="52" spans="2:17" ht="13.5" hidden="1" thickBot="1" x14ac:dyDescent="0.25">
      <c r="B52" s="95" t="s">
        <v>265</v>
      </c>
      <c r="C52" s="117">
        <v>8</v>
      </c>
      <c r="D52" s="23">
        <f t="shared" si="10"/>
        <v>6.1333333333333337</v>
      </c>
      <c r="E52" s="23">
        <f t="shared" si="21"/>
        <v>12.266666666666667</v>
      </c>
      <c r="F52" s="24">
        <f t="shared" si="8"/>
        <v>200</v>
      </c>
      <c r="G52" s="94">
        <f t="shared" si="9"/>
        <v>1226.6666666666667</v>
      </c>
      <c r="H52" s="13"/>
      <c r="I52" s="118">
        <v>46</v>
      </c>
      <c r="J52" s="3"/>
      <c r="K52" s="150">
        <f t="shared" si="22"/>
        <v>1.84</v>
      </c>
      <c r="L52" s="143">
        <v>8</v>
      </c>
      <c r="M52" s="144" t="s">
        <v>27</v>
      </c>
      <c r="O52" s="144"/>
      <c r="P52" s="144"/>
      <c r="Q52" s="144"/>
    </row>
    <row r="53" spans="2:17" ht="13.5" hidden="1" thickBot="1" x14ac:dyDescent="0.25">
      <c r="B53" s="95" t="s">
        <v>266</v>
      </c>
      <c r="C53" s="117">
        <v>10</v>
      </c>
      <c r="D53" s="23">
        <f t="shared" si="10"/>
        <v>7.666666666666667</v>
      </c>
      <c r="E53" s="23">
        <f t="shared" si="21"/>
        <v>15.333333333333334</v>
      </c>
      <c r="F53" s="24">
        <f t="shared" si="8"/>
        <v>200</v>
      </c>
      <c r="G53" s="94">
        <f t="shared" si="9"/>
        <v>1533.3333333333335</v>
      </c>
      <c r="H53" s="13"/>
      <c r="I53" s="118">
        <v>46</v>
      </c>
      <c r="J53" s="3"/>
      <c r="K53" s="150">
        <f t="shared" si="22"/>
        <v>2.3000000000000003</v>
      </c>
      <c r="L53" s="143">
        <v>10</v>
      </c>
      <c r="M53" s="144" t="s">
        <v>27</v>
      </c>
      <c r="O53" s="144"/>
      <c r="P53" s="144"/>
      <c r="Q53" s="144"/>
    </row>
    <row r="54" spans="2:17" ht="13.5" hidden="1" thickBot="1" x14ac:dyDescent="0.25">
      <c r="B54" s="95" t="s">
        <v>267</v>
      </c>
      <c r="C54" s="117">
        <v>12</v>
      </c>
      <c r="D54" s="23">
        <f t="shared" si="10"/>
        <v>9.2000000000000011</v>
      </c>
      <c r="E54" s="23">
        <f t="shared" si="21"/>
        <v>18.400000000000002</v>
      </c>
      <c r="F54" s="24">
        <f t="shared" si="8"/>
        <v>200</v>
      </c>
      <c r="G54" s="94">
        <f t="shared" si="9"/>
        <v>1840.0000000000002</v>
      </c>
      <c r="H54" s="13"/>
      <c r="I54" s="118">
        <v>46</v>
      </c>
      <c r="J54" s="3"/>
      <c r="K54" s="150">
        <f t="shared" si="22"/>
        <v>2.7600000000000002</v>
      </c>
      <c r="L54" s="143">
        <v>12</v>
      </c>
      <c r="M54" s="144" t="s">
        <v>27</v>
      </c>
      <c r="O54" s="144"/>
      <c r="P54" s="144"/>
      <c r="Q54" s="144"/>
    </row>
    <row r="55" spans="2:17" ht="13.5" hidden="1" thickBot="1" x14ac:dyDescent="0.25">
      <c r="B55" s="130" t="s">
        <v>268</v>
      </c>
      <c r="C55" s="124">
        <v>14</v>
      </c>
      <c r="D55" s="125">
        <f t="shared" si="10"/>
        <v>10.733333333333333</v>
      </c>
      <c r="E55" s="125">
        <f t="shared" si="21"/>
        <v>21.466666666666665</v>
      </c>
      <c r="F55" s="113">
        <f t="shared" si="8"/>
        <v>200</v>
      </c>
      <c r="G55" s="126">
        <f t="shared" si="9"/>
        <v>2146.6666666666665</v>
      </c>
      <c r="H55" s="127"/>
      <c r="I55" s="118">
        <v>46</v>
      </c>
      <c r="J55" s="3"/>
      <c r="K55" s="150">
        <f t="shared" si="22"/>
        <v>3.22</v>
      </c>
      <c r="L55" s="143">
        <v>14</v>
      </c>
      <c r="M55" s="144" t="s">
        <v>27</v>
      </c>
      <c r="O55" s="144"/>
      <c r="P55" s="144"/>
      <c r="Q55" s="144"/>
    </row>
    <row r="56" spans="2:17" ht="13.5" hidden="1" thickBot="1" x14ac:dyDescent="0.25">
      <c r="B56" s="179" t="s">
        <v>269</v>
      </c>
      <c r="C56" s="119">
        <v>4</v>
      </c>
      <c r="D56" s="120">
        <f t="shared" ref="D56:D62" si="23">+((I56/100*C56)/2)*1.5/0.5/0.9</f>
        <v>4.3999999999999995</v>
      </c>
      <c r="E56" s="120">
        <f t="shared" si="21"/>
        <v>8.7999999999999989</v>
      </c>
      <c r="F56" s="121">
        <f t="shared" si="8"/>
        <v>200</v>
      </c>
      <c r="G56" s="122">
        <f t="shared" ref="G56:G62" si="24">ROUNDUP(F56,0)*D56</f>
        <v>879.99999999999989</v>
      </c>
      <c r="H56" s="123"/>
      <c r="I56" s="118">
        <v>66</v>
      </c>
      <c r="J56" s="3"/>
      <c r="K56" s="150">
        <f>+(I56/100)/2*C56</f>
        <v>1.32</v>
      </c>
      <c r="L56" s="143">
        <v>4</v>
      </c>
      <c r="M56" s="144" t="s">
        <v>27</v>
      </c>
      <c r="O56" s="144" t="s">
        <v>28</v>
      </c>
      <c r="P56" s="144"/>
      <c r="Q56" s="144"/>
    </row>
    <row r="57" spans="2:17" ht="13.5" hidden="1" thickBot="1" x14ac:dyDescent="0.25">
      <c r="B57" s="180" t="s">
        <v>270</v>
      </c>
      <c r="C57" s="116">
        <v>5</v>
      </c>
      <c r="D57" s="23">
        <f t="shared" si="23"/>
        <v>5.5</v>
      </c>
      <c r="E57" s="23">
        <f t="shared" si="21"/>
        <v>11</v>
      </c>
      <c r="F57" s="24">
        <f t="shared" si="8"/>
        <v>200</v>
      </c>
      <c r="G57" s="94">
        <f t="shared" si="24"/>
        <v>1100</v>
      </c>
      <c r="H57" s="13"/>
      <c r="I57" s="118">
        <v>66</v>
      </c>
      <c r="J57" s="3"/>
      <c r="K57" s="150">
        <f t="shared" ref="K57:K62" si="25">+(I57/100)/2*C57</f>
        <v>1.6500000000000001</v>
      </c>
      <c r="L57" s="143">
        <v>5</v>
      </c>
      <c r="M57" s="144" t="s">
        <v>27</v>
      </c>
      <c r="O57" s="144"/>
      <c r="P57" s="144"/>
      <c r="Q57" s="144"/>
    </row>
    <row r="58" spans="2:17" ht="13.5" hidden="1" thickBot="1" x14ac:dyDescent="0.25">
      <c r="B58" s="180" t="s">
        <v>271</v>
      </c>
      <c r="C58" s="117">
        <v>6</v>
      </c>
      <c r="D58" s="23">
        <f t="shared" si="23"/>
        <v>6.6</v>
      </c>
      <c r="E58" s="23">
        <f t="shared" si="21"/>
        <v>13.2</v>
      </c>
      <c r="F58" s="24">
        <f t="shared" si="8"/>
        <v>200</v>
      </c>
      <c r="G58" s="94">
        <f t="shared" si="24"/>
        <v>1320</v>
      </c>
      <c r="H58" s="13"/>
      <c r="I58" s="118">
        <v>66</v>
      </c>
      <c r="J58" s="3"/>
      <c r="K58" s="150">
        <f t="shared" si="25"/>
        <v>1.98</v>
      </c>
      <c r="L58" s="143">
        <v>6</v>
      </c>
      <c r="M58" s="144" t="s">
        <v>27</v>
      </c>
      <c r="O58" s="144"/>
      <c r="P58" s="144"/>
      <c r="Q58" s="144"/>
    </row>
    <row r="59" spans="2:17" ht="13.5" hidden="1" thickBot="1" x14ac:dyDescent="0.25">
      <c r="B59" s="180" t="s">
        <v>272</v>
      </c>
      <c r="C59" s="117">
        <v>8</v>
      </c>
      <c r="D59" s="23">
        <f t="shared" si="23"/>
        <v>8.7999999999999989</v>
      </c>
      <c r="E59" s="23">
        <f t="shared" si="21"/>
        <v>17.599999999999998</v>
      </c>
      <c r="F59" s="24">
        <f t="shared" si="8"/>
        <v>200</v>
      </c>
      <c r="G59" s="94">
        <f t="shared" si="24"/>
        <v>1759.9999999999998</v>
      </c>
      <c r="H59" s="13"/>
      <c r="I59" s="118">
        <v>66</v>
      </c>
      <c r="J59" s="3"/>
      <c r="K59" s="150">
        <f t="shared" si="25"/>
        <v>2.64</v>
      </c>
      <c r="L59" s="143">
        <v>8</v>
      </c>
      <c r="M59" s="144" t="s">
        <v>27</v>
      </c>
      <c r="O59" s="144"/>
      <c r="P59" s="144"/>
      <c r="Q59" s="144"/>
    </row>
    <row r="60" spans="2:17" ht="13.5" hidden="1" thickBot="1" x14ac:dyDescent="0.25">
      <c r="B60" s="180" t="s">
        <v>273</v>
      </c>
      <c r="C60" s="117">
        <v>10</v>
      </c>
      <c r="D60" s="23">
        <f t="shared" si="23"/>
        <v>11</v>
      </c>
      <c r="E60" s="23">
        <f t="shared" si="21"/>
        <v>22</v>
      </c>
      <c r="F60" s="24">
        <f t="shared" si="8"/>
        <v>200</v>
      </c>
      <c r="G60" s="94">
        <f t="shared" si="24"/>
        <v>2200</v>
      </c>
      <c r="H60" s="13"/>
      <c r="I60" s="118">
        <v>66</v>
      </c>
      <c r="J60" s="3"/>
      <c r="K60" s="150">
        <f t="shared" si="25"/>
        <v>3.3000000000000003</v>
      </c>
      <c r="L60" s="143">
        <v>10</v>
      </c>
      <c r="M60" s="144" t="s">
        <v>27</v>
      </c>
      <c r="O60" s="144"/>
      <c r="P60" s="144"/>
      <c r="Q60" s="144"/>
    </row>
    <row r="61" spans="2:17" ht="13.5" hidden="1" thickBot="1" x14ac:dyDescent="0.25">
      <c r="B61" s="180" t="s">
        <v>274</v>
      </c>
      <c r="C61" s="117">
        <v>12</v>
      </c>
      <c r="D61" s="23">
        <f t="shared" si="23"/>
        <v>13.2</v>
      </c>
      <c r="E61" s="23">
        <f t="shared" si="21"/>
        <v>26.4</v>
      </c>
      <c r="F61" s="24">
        <f t="shared" si="8"/>
        <v>200</v>
      </c>
      <c r="G61" s="94">
        <f t="shared" si="24"/>
        <v>2640</v>
      </c>
      <c r="H61" s="13"/>
      <c r="I61" s="118">
        <v>66</v>
      </c>
      <c r="J61" s="3"/>
      <c r="K61" s="150">
        <f t="shared" si="25"/>
        <v>3.96</v>
      </c>
      <c r="L61" s="143">
        <v>12</v>
      </c>
      <c r="M61" s="144" t="s">
        <v>27</v>
      </c>
      <c r="O61" s="144"/>
      <c r="P61" s="144"/>
      <c r="Q61" s="144"/>
    </row>
    <row r="62" spans="2:17" ht="13.5" hidden="1" thickBot="1" x14ac:dyDescent="0.25">
      <c r="B62" s="180" t="s">
        <v>275</v>
      </c>
      <c r="C62" s="124">
        <v>14</v>
      </c>
      <c r="D62" s="125">
        <f t="shared" si="23"/>
        <v>15.399999999999999</v>
      </c>
      <c r="E62" s="125">
        <f t="shared" si="21"/>
        <v>30.799999999999997</v>
      </c>
      <c r="F62" s="113">
        <f t="shared" si="8"/>
        <v>200</v>
      </c>
      <c r="G62" s="126">
        <f t="shared" si="24"/>
        <v>3079.9999999999995</v>
      </c>
      <c r="H62" s="127"/>
      <c r="I62" s="118">
        <v>66</v>
      </c>
      <c r="J62" s="3"/>
      <c r="K62" s="150">
        <f t="shared" si="25"/>
        <v>4.62</v>
      </c>
      <c r="L62" s="143">
        <v>14</v>
      </c>
      <c r="M62" s="144" t="s">
        <v>27</v>
      </c>
      <c r="O62" s="144"/>
      <c r="P62" s="144"/>
      <c r="Q62" s="144"/>
    </row>
    <row r="63" spans="2:17" ht="13.5" hidden="1" thickBot="1" x14ac:dyDescent="0.25">
      <c r="B63" s="129" t="s">
        <v>276</v>
      </c>
      <c r="C63" s="119">
        <v>4</v>
      </c>
      <c r="D63" s="120">
        <f t="shared" si="10"/>
        <v>3.7333333333333334</v>
      </c>
      <c r="E63" s="120">
        <f t="shared" si="11"/>
        <v>7.4666666666666668</v>
      </c>
      <c r="F63" s="121">
        <f t="shared" si="8"/>
        <v>200</v>
      </c>
      <c r="G63" s="122">
        <f t="shared" si="9"/>
        <v>746.66666666666663</v>
      </c>
      <c r="H63" s="123"/>
      <c r="I63" s="118">
        <v>56</v>
      </c>
      <c r="J63" s="3"/>
      <c r="K63" s="150">
        <f>+(I63/100)/2*C63</f>
        <v>1.1200000000000001</v>
      </c>
      <c r="L63" s="143">
        <v>4</v>
      </c>
      <c r="M63" s="144" t="s">
        <v>27</v>
      </c>
      <c r="O63" s="144" t="s">
        <v>28</v>
      </c>
      <c r="P63" s="144"/>
      <c r="Q63" s="144"/>
    </row>
    <row r="64" spans="2:17" ht="13.5" hidden="1" thickBot="1" x14ac:dyDescent="0.25">
      <c r="B64" s="96" t="s">
        <v>277</v>
      </c>
      <c r="C64" s="116">
        <v>5</v>
      </c>
      <c r="D64" s="23">
        <f t="shared" si="10"/>
        <v>4.666666666666667</v>
      </c>
      <c r="E64" s="23">
        <f t="shared" si="11"/>
        <v>9.3333333333333339</v>
      </c>
      <c r="F64" s="24">
        <f t="shared" si="8"/>
        <v>200</v>
      </c>
      <c r="G64" s="94">
        <f t="shared" si="9"/>
        <v>933.33333333333337</v>
      </c>
      <c r="H64" s="13"/>
      <c r="I64" s="118">
        <v>56</v>
      </c>
      <c r="J64" s="3"/>
      <c r="K64" s="150">
        <f t="shared" ref="K64:K69" si="26">+(I64/100)/2*C64</f>
        <v>1.4000000000000001</v>
      </c>
      <c r="L64" s="143">
        <v>5</v>
      </c>
      <c r="M64" s="144" t="s">
        <v>27</v>
      </c>
      <c r="O64" s="144"/>
      <c r="P64" s="144"/>
      <c r="Q64" s="144"/>
    </row>
    <row r="65" spans="2:17" ht="13.5" hidden="1" thickBot="1" x14ac:dyDescent="0.25">
      <c r="B65" s="96" t="s">
        <v>278</v>
      </c>
      <c r="C65" s="117">
        <v>6</v>
      </c>
      <c r="D65" s="23">
        <f t="shared" si="10"/>
        <v>5.6000000000000005</v>
      </c>
      <c r="E65" s="23">
        <f t="shared" si="11"/>
        <v>11.200000000000001</v>
      </c>
      <c r="F65" s="24">
        <f t="shared" si="8"/>
        <v>200</v>
      </c>
      <c r="G65" s="94">
        <f t="shared" si="9"/>
        <v>1120</v>
      </c>
      <c r="H65" s="13"/>
      <c r="I65" s="118">
        <v>56</v>
      </c>
      <c r="J65" s="3"/>
      <c r="K65" s="150">
        <f t="shared" si="26"/>
        <v>1.6800000000000002</v>
      </c>
      <c r="L65" s="143">
        <v>6</v>
      </c>
      <c r="M65" s="144" t="s">
        <v>27</v>
      </c>
      <c r="O65" s="144"/>
      <c r="P65" s="144"/>
      <c r="Q65" s="144"/>
    </row>
    <row r="66" spans="2:17" ht="13.5" hidden="1" thickBot="1" x14ac:dyDescent="0.25">
      <c r="B66" s="96" t="s">
        <v>279</v>
      </c>
      <c r="C66" s="117">
        <v>8</v>
      </c>
      <c r="D66" s="23">
        <f t="shared" si="10"/>
        <v>7.4666666666666668</v>
      </c>
      <c r="E66" s="23">
        <f t="shared" si="11"/>
        <v>14.933333333333334</v>
      </c>
      <c r="F66" s="24">
        <f t="shared" si="8"/>
        <v>200</v>
      </c>
      <c r="G66" s="94">
        <f t="shared" si="9"/>
        <v>1493.3333333333333</v>
      </c>
      <c r="H66" s="13"/>
      <c r="I66" s="118">
        <v>56</v>
      </c>
      <c r="J66" s="3"/>
      <c r="K66" s="150">
        <f t="shared" si="26"/>
        <v>2.2400000000000002</v>
      </c>
      <c r="L66" s="143">
        <v>8</v>
      </c>
      <c r="M66" s="144" t="s">
        <v>27</v>
      </c>
      <c r="O66" s="144"/>
      <c r="P66" s="144"/>
      <c r="Q66" s="144"/>
    </row>
    <row r="67" spans="2:17" ht="13.5" hidden="1" thickBot="1" x14ac:dyDescent="0.25">
      <c r="B67" s="96" t="s">
        <v>280</v>
      </c>
      <c r="C67" s="117">
        <v>10</v>
      </c>
      <c r="D67" s="23">
        <f t="shared" si="10"/>
        <v>9.3333333333333339</v>
      </c>
      <c r="E67" s="23">
        <f t="shared" si="11"/>
        <v>18.666666666666668</v>
      </c>
      <c r="F67" s="24">
        <f t="shared" si="8"/>
        <v>200</v>
      </c>
      <c r="G67" s="94">
        <f t="shared" si="9"/>
        <v>1866.6666666666667</v>
      </c>
      <c r="H67" s="13"/>
      <c r="I67" s="118">
        <v>56</v>
      </c>
      <c r="J67" s="3"/>
      <c r="K67" s="150">
        <f t="shared" si="26"/>
        <v>2.8000000000000003</v>
      </c>
      <c r="L67" s="143">
        <v>10</v>
      </c>
      <c r="M67" s="144" t="s">
        <v>27</v>
      </c>
      <c r="O67" s="144"/>
      <c r="P67" s="144"/>
      <c r="Q67" s="144"/>
    </row>
    <row r="68" spans="2:17" ht="13.5" hidden="1" thickBot="1" x14ac:dyDescent="0.25">
      <c r="B68" s="96" t="s">
        <v>281</v>
      </c>
      <c r="C68" s="117">
        <v>12</v>
      </c>
      <c r="D68" s="23">
        <f t="shared" si="10"/>
        <v>11.200000000000001</v>
      </c>
      <c r="E68" s="23">
        <f t="shared" si="11"/>
        <v>22.400000000000002</v>
      </c>
      <c r="F68" s="24">
        <f t="shared" si="8"/>
        <v>200</v>
      </c>
      <c r="G68" s="94">
        <f t="shared" si="9"/>
        <v>2240</v>
      </c>
      <c r="H68" s="13"/>
      <c r="I68" s="118">
        <v>56</v>
      </c>
      <c r="J68" s="3"/>
      <c r="K68" s="150">
        <f t="shared" si="26"/>
        <v>3.3600000000000003</v>
      </c>
      <c r="L68" s="143">
        <v>12</v>
      </c>
      <c r="M68" s="144" t="s">
        <v>27</v>
      </c>
      <c r="O68" s="144"/>
      <c r="P68" s="144"/>
      <c r="Q68" s="144"/>
    </row>
    <row r="69" spans="2:17" ht="13.5" hidden="1" thickBot="1" x14ac:dyDescent="0.25">
      <c r="B69" s="96" t="s">
        <v>282</v>
      </c>
      <c r="C69" s="124">
        <v>14</v>
      </c>
      <c r="D69" s="125">
        <f t="shared" si="10"/>
        <v>13.066666666666668</v>
      </c>
      <c r="E69" s="125">
        <f t="shared" si="11"/>
        <v>26.133333333333336</v>
      </c>
      <c r="F69" s="113">
        <f t="shared" si="8"/>
        <v>200</v>
      </c>
      <c r="G69" s="126">
        <f t="shared" si="9"/>
        <v>2613.3333333333335</v>
      </c>
      <c r="H69" s="127"/>
      <c r="I69" s="118">
        <v>56</v>
      </c>
      <c r="J69" s="3"/>
      <c r="K69" s="150">
        <f t="shared" si="26"/>
        <v>3.9200000000000004</v>
      </c>
      <c r="L69" s="143">
        <v>14</v>
      </c>
      <c r="M69" s="144" t="s">
        <v>27</v>
      </c>
      <c r="O69" s="144"/>
      <c r="P69" s="144"/>
      <c r="Q69" s="144"/>
    </row>
    <row r="70" spans="2:17" ht="13.5" hidden="1" thickBot="1" x14ac:dyDescent="0.25">
      <c r="B70" s="128" t="s">
        <v>30</v>
      </c>
      <c r="C70" s="119">
        <v>4</v>
      </c>
      <c r="D70" s="120">
        <f>+((I70/100*C70)*0.6)*1.56/0.5/0.9</f>
        <v>11.232000000000001</v>
      </c>
      <c r="E70" s="120">
        <f>D70/0.6</f>
        <v>18.720000000000002</v>
      </c>
      <c r="F70" s="121">
        <f>ROUNDUP((+$G$2/0.6),0)</f>
        <v>167</v>
      </c>
      <c r="G70" s="122">
        <f t="shared" si="9"/>
        <v>1875.7440000000001</v>
      </c>
      <c r="H70" s="123"/>
      <c r="I70" s="118">
        <v>135</v>
      </c>
      <c r="J70" s="3"/>
      <c r="K70" s="150">
        <f>+(I70/100)*0.6*C70</f>
        <v>3.24</v>
      </c>
      <c r="L70" s="143">
        <v>4</v>
      </c>
      <c r="M70" s="144" t="s">
        <v>31</v>
      </c>
      <c r="O70" s="144"/>
      <c r="P70" s="144"/>
      <c r="Q70" s="144"/>
    </row>
    <row r="71" spans="2:17" ht="13.5" hidden="1" thickBot="1" x14ac:dyDescent="0.25">
      <c r="B71" s="97" t="s">
        <v>32</v>
      </c>
      <c r="C71" s="116">
        <v>5</v>
      </c>
      <c r="D71" s="23">
        <f>+((I71/100*C71)*0.6)*1.56/0.5/0.9</f>
        <v>14.04</v>
      </c>
      <c r="E71" s="23">
        <f>D71/0.6</f>
        <v>23.4</v>
      </c>
      <c r="F71" s="24">
        <f t="shared" ref="F71:F77" si="27">ROUNDUP((+$G$2/0.6),0)</f>
        <v>167</v>
      </c>
      <c r="G71" s="94">
        <f t="shared" si="9"/>
        <v>2344.6799999999998</v>
      </c>
      <c r="H71" s="13"/>
      <c r="I71" s="118">
        <v>135</v>
      </c>
      <c r="J71" s="3"/>
      <c r="K71" s="150">
        <f t="shared" ref="K71:K101" si="28">+(I71/100)*0.6*C71</f>
        <v>4.0500000000000007</v>
      </c>
      <c r="L71" s="143">
        <v>5</v>
      </c>
      <c r="M71" s="144" t="s">
        <v>31</v>
      </c>
      <c r="O71" s="144"/>
      <c r="P71" s="144"/>
      <c r="Q71" s="144"/>
    </row>
    <row r="72" spans="2:17" ht="13.5" hidden="1" thickBot="1" x14ac:dyDescent="0.25">
      <c r="B72" s="97" t="s">
        <v>33</v>
      </c>
      <c r="C72" s="117">
        <v>6</v>
      </c>
      <c r="D72" s="23">
        <f t="shared" ref="D72:D77" si="29">+((I72/100*C72)*0.6)*1.56/0.5/0.9</f>
        <v>16.848000000000003</v>
      </c>
      <c r="E72" s="23">
        <f t="shared" ref="E72:E77" si="30">D72/0.6</f>
        <v>28.080000000000005</v>
      </c>
      <c r="F72" s="24">
        <f t="shared" si="27"/>
        <v>167</v>
      </c>
      <c r="G72" s="94">
        <f t="shared" si="9"/>
        <v>2813.6160000000004</v>
      </c>
      <c r="H72" s="13"/>
      <c r="I72" s="118">
        <v>135</v>
      </c>
      <c r="J72" s="3"/>
      <c r="K72" s="150">
        <f t="shared" si="28"/>
        <v>4.8600000000000003</v>
      </c>
      <c r="L72" s="143">
        <v>6</v>
      </c>
      <c r="M72" s="144" t="s">
        <v>31</v>
      </c>
      <c r="O72" s="144"/>
      <c r="P72" s="144"/>
      <c r="Q72" s="144"/>
    </row>
    <row r="73" spans="2:17" ht="13.5" hidden="1" thickBot="1" x14ac:dyDescent="0.25">
      <c r="B73" s="97" t="s">
        <v>34</v>
      </c>
      <c r="C73" s="117">
        <v>8</v>
      </c>
      <c r="D73" s="23">
        <f t="shared" si="29"/>
        <v>22.464000000000002</v>
      </c>
      <c r="E73" s="23">
        <f t="shared" si="30"/>
        <v>37.440000000000005</v>
      </c>
      <c r="F73" s="24">
        <f t="shared" si="27"/>
        <v>167</v>
      </c>
      <c r="G73" s="94">
        <f t="shared" si="9"/>
        <v>3751.4880000000003</v>
      </c>
      <c r="H73" s="13"/>
      <c r="I73" s="118">
        <v>135</v>
      </c>
      <c r="J73" s="3"/>
      <c r="K73" s="150">
        <f t="shared" si="28"/>
        <v>6.48</v>
      </c>
      <c r="L73" s="143">
        <v>8</v>
      </c>
      <c r="M73" s="144" t="s">
        <v>31</v>
      </c>
      <c r="O73" s="144"/>
      <c r="P73" s="144"/>
      <c r="Q73" s="144"/>
    </row>
    <row r="74" spans="2:17" ht="13.5" hidden="1" thickBot="1" x14ac:dyDescent="0.25">
      <c r="B74" s="97" t="s">
        <v>35</v>
      </c>
      <c r="C74" s="117">
        <v>10</v>
      </c>
      <c r="D74" s="23">
        <f t="shared" si="29"/>
        <v>28.08</v>
      </c>
      <c r="E74" s="23">
        <f t="shared" si="30"/>
        <v>46.8</v>
      </c>
      <c r="F74" s="24">
        <f t="shared" si="27"/>
        <v>167</v>
      </c>
      <c r="G74" s="94">
        <f t="shared" si="9"/>
        <v>4689.3599999999997</v>
      </c>
      <c r="H74" s="13"/>
      <c r="I74" s="118">
        <v>135</v>
      </c>
      <c r="J74" s="3"/>
      <c r="K74" s="150">
        <f t="shared" si="28"/>
        <v>8.1000000000000014</v>
      </c>
      <c r="L74" s="143">
        <v>10</v>
      </c>
      <c r="M74" s="144" t="s">
        <v>31</v>
      </c>
      <c r="O74" s="144"/>
      <c r="P74" s="144"/>
      <c r="Q74" s="144"/>
    </row>
    <row r="75" spans="2:17" ht="13.5" hidden="1" thickBot="1" x14ac:dyDescent="0.25">
      <c r="B75" s="97" t="s">
        <v>36</v>
      </c>
      <c r="C75" s="117">
        <v>12</v>
      </c>
      <c r="D75" s="23">
        <f t="shared" si="29"/>
        <v>33.696000000000005</v>
      </c>
      <c r="E75" s="23">
        <f t="shared" si="30"/>
        <v>56.160000000000011</v>
      </c>
      <c r="F75" s="24">
        <f t="shared" si="27"/>
        <v>167</v>
      </c>
      <c r="G75" s="94">
        <f t="shared" si="9"/>
        <v>5627.2320000000009</v>
      </c>
      <c r="H75" s="13"/>
      <c r="I75" s="118">
        <v>135</v>
      </c>
      <c r="J75" s="3"/>
      <c r="K75" s="150">
        <f t="shared" si="28"/>
        <v>9.7200000000000006</v>
      </c>
      <c r="L75" s="143">
        <v>12</v>
      </c>
      <c r="M75" s="144" t="s">
        <v>31</v>
      </c>
      <c r="O75" s="144"/>
      <c r="P75" s="144"/>
      <c r="Q75" s="144"/>
    </row>
    <row r="76" spans="2:17" ht="13.5" hidden="1" thickBot="1" x14ac:dyDescent="0.25">
      <c r="B76" s="97" t="s">
        <v>37</v>
      </c>
      <c r="C76" s="117">
        <v>14</v>
      </c>
      <c r="D76" s="23">
        <f t="shared" si="29"/>
        <v>39.312000000000005</v>
      </c>
      <c r="E76" s="23">
        <f t="shared" si="30"/>
        <v>65.52000000000001</v>
      </c>
      <c r="F76" s="24">
        <f t="shared" si="27"/>
        <v>167</v>
      </c>
      <c r="G76" s="94">
        <f t="shared" si="9"/>
        <v>6565.1040000000012</v>
      </c>
      <c r="H76" s="13"/>
      <c r="I76" s="118">
        <v>135</v>
      </c>
      <c r="J76" s="3"/>
      <c r="K76" s="150">
        <f t="shared" si="28"/>
        <v>11.34</v>
      </c>
      <c r="L76" s="143">
        <v>14</v>
      </c>
      <c r="M76" s="144" t="s">
        <v>31</v>
      </c>
      <c r="O76" s="144"/>
      <c r="P76" s="144"/>
      <c r="Q76" s="144"/>
    </row>
    <row r="77" spans="2:17" ht="13.5" hidden="1" thickBot="1" x14ac:dyDescent="0.25">
      <c r="B77" s="97" t="s">
        <v>38</v>
      </c>
      <c r="C77" s="117">
        <v>16</v>
      </c>
      <c r="D77" s="145">
        <f t="shared" si="29"/>
        <v>44.928000000000004</v>
      </c>
      <c r="E77" s="145">
        <f t="shared" si="30"/>
        <v>74.88000000000001</v>
      </c>
      <c r="F77" s="31">
        <f t="shared" si="27"/>
        <v>167</v>
      </c>
      <c r="G77" s="84">
        <f t="shared" si="9"/>
        <v>7502.9760000000006</v>
      </c>
      <c r="H77" s="127"/>
      <c r="I77" s="118">
        <v>135</v>
      </c>
      <c r="J77" s="3"/>
      <c r="K77" s="150">
        <f t="shared" si="28"/>
        <v>12.96</v>
      </c>
      <c r="L77" s="143">
        <v>16</v>
      </c>
      <c r="M77" s="144" t="s">
        <v>31</v>
      </c>
      <c r="O77" s="144"/>
      <c r="P77" s="144"/>
      <c r="Q77" s="144"/>
    </row>
    <row r="78" spans="2:17" ht="13.5" hidden="1" thickBot="1" x14ac:dyDescent="0.25">
      <c r="B78" s="220" t="s">
        <v>384</v>
      </c>
      <c r="C78" s="196">
        <v>2</v>
      </c>
      <c r="D78" s="120">
        <f t="shared" ref="D78" si="31">+((I78/100*C78)/2)*1.5/0.5/0.9</f>
        <v>8.8333333333333321</v>
      </c>
      <c r="E78" s="21">
        <f t="shared" ref="E78" si="32">D78*2</f>
        <v>17.666666666666664</v>
      </c>
      <c r="F78" s="24">
        <f t="shared" ref="F78:F85" si="33">+$G$2*2</f>
        <v>200</v>
      </c>
      <c r="G78" s="92">
        <f t="shared" si="9"/>
        <v>1766.6666666666665</v>
      </c>
      <c r="H78" s="123"/>
      <c r="I78" s="118">
        <v>265</v>
      </c>
      <c r="J78" s="3"/>
      <c r="K78" s="150">
        <f t="shared" ref="K78" si="34">+(I78/100)/2*C78</f>
        <v>2.65</v>
      </c>
      <c r="L78" s="143">
        <v>5</v>
      </c>
      <c r="M78" s="144" t="s">
        <v>27</v>
      </c>
      <c r="O78" s="144"/>
      <c r="P78" s="144"/>
      <c r="Q78" s="144"/>
    </row>
    <row r="79" spans="2:17" ht="13.5" hidden="1" thickBot="1" x14ac:dyDescent="0.25">
      <c r="B79" s="220" t="s">
        <v>385</v>
      </c>
      <c r="C79" s="116">
        <v>3</v>
      </c>
      <c r="D79" s="23">
        <f t="shared" ref="D79" si="35">+((I79/100*C79)/2)*1.5/0.5/0.9</f>
        <v>11.25</v>
      </c>
      <c r="E79" s="23">
        <f t="shared" ref="E79" si="36">D79*2</f>
        <v>22.5</v>
      </c>
      <c r="F79" s="24">
        <f t="shared" si="33"/>
        <v>200</v>
      </c>
      <c r="G79" s="94">
        <f t="shared" ref="G79" si="37">ROUNDUP(F79,0)*D79</f>
        <v>2250</v>
      </c>
      <c r="H79" s="13"/>
      <c r="I79" s="118">
        <v>225</v>
      </c>
      <c r="J79" s="3"/>
      <c r="K79" s="150">
        <f t="shared" ref="K79" si="38">+(I79/100)/2*C79</f>
        <v>3.375</v>
      </c>
      <c r="L79" s="143">
        <v>5</v>
      </c>
      <c r="M79" s="144" t="s">
        <v>27</v>
      </c>
      <c r="O79" s="144"/>
      <c r="P79" s="144"/>
      <c r="Q79" s="144"/>
    </row>
    <row r="80" spans="2:17" ht="13.5" hidden="1" thickBot="1" x14ac:dyDescent="0.25">
      <c r="B80" s="220" t="s">
        <v>386</v>
      </c>
      <c r="C80" s="117">
        <v>4</v>
      </c>
      <c r="D80" s="23">
        <f t="shared" ref="D80:D85" si="39">+((I80/100*C80)/2)*1.5/0.5/0.9</f>
        <v>13.6</v>
      </c>
      <c r="E80" s="23">
        <f t="shared" ref="E80:E85" si="40">D80*2</f>
        <v>27.2</v>
      </c>
      <c r="F80" s="24">
        <f t="shared" si="33"/>
        <v>200</v>
      </c>
      <c r="G80" s="94">
        <f t="shared" ref="G80:G85" si="41">ROUNDUP(F80,0)*D80</f>
        <v>2720</v>
      </c>
      <c r="H80" s="13"/>
      <c r="I80" s="118">
        <v>204</v>
      </c>
      <c r="J80" s="3"/>
      <c r="K80" s="150">
        <f t="shared" ref="K80:K85" si="42">+(I80/100)/2*C80</f>
        <v>4.08</v>
      </c>
      <c r="L80" s="143">
        <v>5</v>
      </c>
      <c r="M80" s="144" t="s">
        <v>27</v>
      </c>
      <c r="O80" s="144"/>
      <c r="P80" s="144"/>
      <c r="Q80" s="144"/>
    </row>
    <row r="81" spans="2:17" ht="13.5" hidden="1" thickBot="1" x14ac:dyDescent="0.25">
      <c r="B81" s="220" t="s">
        <v>387</v>
      </c>
      <c r="C81" s="117">
        <v>5</v>
      </c>
      <c r="D81" s="23">
        <f t="shared" si="39"/>
        <v>15.916666666666666</v>
      </c>
      <c r="E81" s="23">
        <f t="shared" si="40"/>
        <v>31.833333333333332</v>
      </c>
      <c r="F81" s="24">
        <f t="shared" si="33"/>
        <v>200</v>
      </c>
      <c r="G81" s="94">
        <f t="shared" si="41"/>
        <v>3183.333333333333</v>
      </c>
      <c r="H81" s="13"/>
      <c r="I81" s="118">
        <v>191</v>
      </c>
      <c r="J81" s="3"/>
      <c r="K81" s="150">
        <f t="shared" si="42"/>
        <v>4.7749999999999995</v>
      </c>
      <c r="L81" s="143">
        <v>5</v>
      </c>
      <c r="M81" s="144" t="s">
        <v>27</v>
      </c>
      <c r="O81" s="144"/>
      <c r="P81" s="144"/>
      <c r="Q81" s="144"/>
    </row>
    <row r="82" spans="2:17" ht="13.5" hidden="1" thickBot="1" x14ac:dyDescent="0.25">
      <c r="B82" s="220" t="s">
        <v>388</v>
      </c>
      <c r="C82" s="117">
        <v>6</v>
      </c>
      <c r="D82" s="23">
        <f t="shared" si="39"/>
        <v>18.400000000000002</v>
      </c>
      <c r="E82" s="23">
        <f t="shared" si="40"/>
        <v>36.800000000000004</v>
      </c>
      <c r="F82" s="24">
        <f t="shared" si="33"/>
        <v>200</v>
      </c>
      <c r="G82" s="94">
        <f t="shared" si="41"/>
        <v>3680.0000000000005</v>
      </c>
      <c r="H82" s="13"/>
      <c r="I82" s="118">
        <v>184</v>
      </c>
      <c r="J82" s="3"/>
      <c r="K82" s="150">
        <f t="shared" si="42"/>
        <v>5.5200000000000005</v>
      </c>
      <c r="L82" s="143">
        <v>5</v>
      </c>
      <c r="M82" s="144" t="s">
        <v>27</v>
      </c>
      <c r="O82" s="144"/>
      <c r="P82" s="144"/>
      <c r="Q82" s="144"/>
    </row>
    <row r="83" spans="2:17" ht="13.5" hidden="1" thickBot="1" x14ac:dyDescent="0.25">
      <c r="B83" s="220" t="s">
        <v>389</v>
      </c>
      <c r="C83" s="117">
        <v>8</v>
      </c>
      <c r="D83" s="23">
        <f t="shared" si="39"/>
        <v>23.2</v>
      </c>
      <c r="E83" s="23">
        <f t="shared" si="40"/>
        <v>46.4</v>
      </c>
      <c r="F83" s="24">
        <f t="shared" si="33"/>
        <v>200</v>
      </c>
      <c r="G83" s="94">
        <f t="shared" si="41"/>
        <v>4640</v>
      </c>
      <c r="H83" s="13"/>
      <c r="I83" s="118">
        <v>174</v>
      </c>
      <c r="J83" s="3"/>
      <c r="K83" s="150">
        <f t="shared" si="42"/>
        <v>6.96</v>
      </c>
      <c r="L83" s="143">
        <v>5</v>
      </c>
      <c r="M83" s="144" t="s">
        <v>27</v>
      </c>
      <c r="O83" s="144"/>
      <c r="P83" s="144"/>
      <c r="Q83" s="144"/>
    </row>
    <row r="84" spans="2:17" ht="13.5" hidden="1" thickBot="1" x14ac:dyDescent="0.25">
      <c r="B84" s="220" t="s">
        <v>390</v>
      </c>
      <c r="C84" s="117">
        <v>10</v>
      </c>
      <c r="D84" s="23">
        <f t="shared" si="39"/>
        <v>28.666666666666664</v>
      </c>
      <c r="E84" s="23">
        <f t="shared" si="40"/>
        <v>57.333333333333329</v>
      </c>
      <c r="F84" s="24">
        <f t="shared" si="33"/>
        <v>200</v>
      </c>
      <c r="G84" s="94">
        <f t="shared" si="41"/>
        <v>5733.333333333333</v>
      </c>
      <c r="H84" s="13"/>
      <c r="I84" s="118">
        <v>172</v>
      </c>
      <c r="J84" s="3"/>
      <c r="K84" s="150">
        <f t="shared" si="42"/>
        <v>8.6</v>
      </c>
      <c r="L84" s="143">
        <v>5</v>
      </c>
      <c r="M84" s="144" t="s">
        <v>27</v>
      </c>
      <c r="O84" s="144"/>
      <c r="P84" s="144"/>
      <c r="Q84" s="144"/>
    </row>
    <row r="85" spans="2:17" ht="13.5" hidden="1" thickBot="1" x14ac:dyDescent="0.25">
      <c r="B85" s="220" t="s">
        <v>391</v>
      </c>
      <c r="C85" s="197">
        <v>12</v>
      </c>
      <c r="D85" s="23">
        <f t="shared" si="39"/>
        <v>33.4</v>
      </c>
      <c r="E85" s="28">
        <f t="shared" si="40"/>
        <v>66.8</v>
      </c>
      <c r="F85" s="24">
        <f t="shared" si="33"/>
        <v>200</v>
      </c>
      <c r="G85" s="87">
        <f t="shared" si="41"/>
        <v>6680</v>
      </c>
      <c r="H85" s="127"/>
      <c r="I85" s="118">
        <v>167</v>
      </c>
      <c r="J85" s="3"/>
      <c r="K85" s="150">
        <f t="shared" si="42"/>
        <v>10.02</v>
      </c>
      <c r="L85" s="143">
        <v>5</v>
      </c>
      <c r="M85" s="144" t="s">
        <v>27</v>
      </c>
      <c r="O85" s="144"/>
      <c r="P85" s="144"/>
      <c r="Q85" s="144"/>
    </row>
    <row r="86" spans="2:17" ht="13.5" hidden="1" thickBot="1" x14ac:dyDescent="0.25">
      <c r="B86" s="181" t="s">
        <v>122</v>
      </c>
      <c r="C86" s="116">
        <v>4</v>
      </c>
      <c r="D86" s="194">
        <f t="shared" ref="D86:D101" si="43">+((I86/100*C86)*0.6)*1.56/0.5/0.9</f>
        <v>11.232000000000001</v>
      </c>
      <c r="E86" s="194">
        <f>D86/0.6</f>
        <v>18.720000000000002</v>
      </c>
      <c r="F86" s="24">
        <f>ROUNDUP((+$G$2/0.6),0)</f>
        <v>167</v>
      </c>
      <c r="G86" s="195">
        <f t="shared" ref="G86:G93" si="44">ROUNDUP(F86,0)*D86</f>
        <v>1875.7440000000001</v>
      </c>
      <c r="H86" s="123"/>
      <c r="I86" s="118">
        <v>135</v>
      </c>
      <c r="J86" s="3"/>
      <c r="K86" s="150">
        <f t="shared" ref="K86:K93" si="45">+(I86/100)*0.6*C86</f>
        <v>3.24</v>
      </c>
      <c r="L86" s="143">
        <v>4</v>
      </c>
      <c r="M86" s="144" t="s">
        <v>31</v>
      </c>
      <c r="O86" s="144"/>
      <c r="P86" s="144"/>
      <c r="Q86" s="144"/>
    </row>
    <row r="87" spans="2:17" ht="13.5" hidden="1" thickBot="1" x14ac:dyDescent="0.25">
      <c r="B87" s="181" t="s">
        <v>123</v>
      </c>
      <c r="C87" s="116">
        <v>5</v>
      </c>
      <c r="D87" s="23">
        <f t="shared" si="43"/>
        <v>14.04</v>
      </c>
      <c r="E87" s="23">
        <f>D87/0.6</f>
        <v>23.4</v>
      </c>
      <c r="F87" s="24">
        <f t="shared" ref="F87:F93" si="46">ROUNDUP((+$G$2/0.6),0)</f>
        <v>167</v>
      </c>
      <c r="G87" s="94">
        <f t="shared" si="44"/>
        <v>2344.6799999999998</v>
      </c>
      <c r="H87" s="13"/>
      <c r="I87" s="118">
        <v>135</v>
      </c>
      <c r="J87" s="3"/>
      <c r="K87" s="150">
        <f t="shared" si="45"/>
        <v>4.0500000000000007</v>
      </c>
      <c r="L87" s="143">
        <v>5</v>
      </c>
      <c r="M87" s="144" t="s">
        <v>31</v>
      </c>
      <c r="O87" s="144"/>
      <c r="P87" s="144"/>
      <c r="Q87" s="144"/>
    </row>
    <row r="88" spans="2:17" ht="13.5" hidden="1" thickBot="1" x14ac:dyDescent="0.25">
      <c r="B88" s="181" t="s">
        <v>124</v>
      </c>
      <c r="C88" s="117">
        <v>6</v>
      </c>
      <c r="D88" s="23">
        <f t="shared" si="43"/>
        <v>16.848000000000003</v>
      </c>
      <c r="E88" s="23">
        <f t="shared" ref="E88:E93" si="47">D88/0.6</f>
        <v>28.080000000000005</v>
      </c>
      <c r="F88" s="24">
        <f t="shared" si="46"/>
        <v>167</v>
      </c>
      <c r="G88" s="94">
        <f t="shared" si="44"/>
        <v>2813.6160000000004</v>
      </c>
      <c r="H88" s="13"/>
      <c r="I88" s="118">
        <v>135</v>
      </c>
      <c r="J88" s="3"/>
      <c r="K88" s="150">
        <f t="shared" si="45"/>
        <v>4.8600000000000003</v>
      </c>
      <c r="L88" s="143">
        <v>6</v>
      </c>
      <c r="M88" s="144" t="s">
        <v>31</v>
      </c>
      <c r="O88" s="144"/>
      <c r="P88" s="144"/>
      <c r="Q88" s="144"/>
    </row>
    <row r="89" spans="2:17" ht="13.5" hidden="1" thickBot="1" x14ac:dyDescent="0.25">
      <c r="B89" s="181" t="s">
        <v>125</v>
      </c>
      <c r="C89" s="117">
        <v>8</v>
      </c>
      <c r="D89" s="23">
        <f t="shared" si="43"/>
        <v>22.464000000000002</v>
      </c>
      <c r="E89" s="23">
        <f t="shared" si="47"/>
        <v>37.440000000000005</v>
      </c>
      <c r="F89" s="24">
        <f t="shared" si="46"/>
        <v>167</v>
      </c>
      <c r="G89" s="94">
        <f t="shared" si="44"/>
        <v>3751.4880000000003</v>
      </c>
      <c r="H89" s="13"/>
      <c r="I89" s="118">
        <v>135</v>
      </c>
      <c r="J89" s="3"/>
      <c r="K89" s="150">
        <f t="shared" si="45"/>
        <v>6.48</v>
      </c>
      <c r="L89" s="143">
        <v>8</v>
      </c>
      <c r="M89" s="144" t="s">
        <v>31</v>
      </c>
      <c r="O89" s="144"/>
      <c r="P89" s="144"/>
      <c r="Q89" s="144"/>
    </row>
    <row r="90" spans="2:17" ht="13.5" hidden="1" thickBot="1" x14ac:dyDescent="0.25">
      <c r="B90" s="181" t="s">
        <v>126</v>
      </c>
      <c r="C90" s="117">
        <v>10</v>
      </c>
      <c r="D90" s="23">
        <f t="shared" si="43"/>
        <v>28.08</v>
      </c>
      <c r="E90" s="23">
        <f t="shared" si="47"/>
        <v>46.8</v>
      </c>
      <c r="F90" s="24">
        <f t="shared" si="46"/>
        <v>167</v>
      </c>
      <c r="G90" s="94">
        <f t="shared" si="44"/>
        <v>4689.3599999999997</v>
      </c>
      <c r="H90" s="13"/>
      <c r="I90" s="118">
        <v>135</v>
      </c>
      <c r="J90" s="3"/>
      <c r="K90" s="150">
        <f t="shared" si="45"/>
        <v>8.1000000000000014</v>
      </c>
      <c r="L90" s="143">
        <v>10</v>
      </c>
      <c r="M90" s="144" t="s">
        <v>31</v>
      </c>
      <c r="O90" s="144"/>
      <c r="P90" s="144"/>
      <c r="Q90" s="144"/>
    </row>
    <row r="91" spans="2:17" ht="13.5" hidden="1" thickBot="1" x14ac:dyDescent="0.25">
      <c r="B91" s="181" t="s">
        <v>127</v>
      </c>
      <c r="C91" s="117">
        <v>12</v>
      </c>
      <c r="D91" s="23">
        <f t="shared" si="43"/>
        <v>33.696000000000005</v>
      </c>
      <c r="E91" s="23">
        <f t="shared" si="47"/>
        <v>56.160000000000011</v>
      </c>
      <c r="F91" s="24">
        <f t="shared" si="46"/>
        <v>167</v>
      </c>
      <c r="G91" s="94">
        <f t="shared" si="44"/>
        <v>5627.2320000000009</v>
      </c>
      <c r="H91" s="13"/>
      <c r="I91" s="118">
        <v>135</v>
      </c>
      <c r="J91" s="3"/>
      <c r="K91" s="150">
        <f t="shared" si="45"/>
        <v>9.7200000000000006</v>
      </c>
      <c r="L91" s="143">
        <v>12</v>
      </c>
      <c r="M91" s="144" t="s">
        <v>31</v>
      </c>
      <c r="O91" s="144"/>
      <c r="P91" s="144"/>
      <c r="Q91" s="144"/>
    </row>
    <row r="92" spans="2:17" ht="13.5" hidden="1" thickBot="1" x14ac:dyDescent="0.25">
      <c r="B92" s="181" t="s">
        <v>128</v>
      </c>
      <c r="C92" s="117">
        <v>14</v>
      </c>
      <c r="D92" s="23">
        <f t="shared" si="43"/>
        <v>39.312000000000005</v>
      </c>
      <c r="E92" s="23">
        <f t="shared" si="47"/>
        <v>65.52000000000001</v>
      </c>
      <c r="F92" s="24">
        <f t="shared" si="46"/>
        <v>167</v>
      </c>
      <c r="G92" s="94">
        <f t="shared" si="44"/>
        <v>6565.1040000000012</v>
      </c>
      <c r="H92" s="13"/>
      <c r="I92" s="118">
        <v>135</v>
      </c>
      <c r="J92" s="3"/>
      <c r="K92" s="150">
        <f t="shared" si="45"/>
        <v>11.34</v>
      </c>
      <c r="L92" s="143">
        <v>14</v>
      </c>
      <c r="M92" s="144" t="s">
        <v>31</v>
      </c>
      <c r="O92" s="144"/>
      <c r="P92" s="144"/>
      <c r="Q92" s="144"/>
    </row>
    <row r="93" spans="2:17" ht="13.5" hidden="1" thickBot="1" x14ac:dyDescent="0.25">
      <c r="B93" s="181" t="s">
        <v>129</v>
      </c>
      <c r="C93" s="117">
        <v>16</v>
      </c>
      <c r="D93" s="145">
        <f t="shared" si="43"/>
        <v>44.928000000000004</v>
      </c>
      <c r="E93" s="145">
        <f t="shared" si="47"/>
        <v>74.88000000000001</v>
      </c>
      <c r="F93" s="31">
        <f t="shared" si="46"/>
        <v>167</v>
      </c>
      <c r="G93" s="84">
        <f t="shared" si="44"/>
        <v>7502.9760000000006</v>
      </c>
      <c r="H93" s="127"/>
      <c r="I93" s="118">
        <v>135</v>
      </c>
      <c r="J93" s="3"/>
      <c r="K93" s="150">
        <f t="shared" si="45"/>
        <v>12.96</v>
      </c>
      <c r="L93" s="143">
        <v>16</v>
      </c>
      <c r="M93" s="144" t="s">
        <v>31</v>
      </c>
      <c r="O93" s="144"/>
      <c r="P93" s="144"/>
      <c r="Q93" s="144"/>
    </row>
    <row r="94" spans="2:17" ht="13.5" hidden="1" thickBot="1" x14ac:dyDescent="0.25">
      <c r="B94" s="221" t="s">
        <v>114</v>
      </c>
      <c r="C94" s="196">
        <v>4</v>
      </c>
      <c r="D94" s="21">
        <f t="shared" si="43"/>
        <v>10.816000000000001</v>
      </c>
      <c r="E94" s="21">
        <f>D94/0.6</f>
        <v>18.026666666666667</v>
      </c>
      <c r="F94" s="22">
        <f>ROUNDUP((+$G$2/0.6),0)</f>
        <v>167</v>
      </c>
      <c r="G94" s="92">
        <f t="shared" si="9"/>
        <v>1806.2720000000002</v>
      </c>
      <c r="H94" s="123"/>
      <c r="I94" s="118">
        <v>130</v>
      </c>
      <c r="J94" s="3"/>
      <c r="K94" s="150">
        <f t="shared" si="28"/>
        <v>3.12</v>
      </c>
      <c r="L94" s="143">
        <v>4</v>
      </c>
      <c r="M94" s="144" t="s">
        <v>31</v>
      </c>
      <c r="O94" s="144"/>
      <c r="P94" s="144"/>
      <c r="Q94" s="144"/>
    </row>
    <row r="95" spans="2:17" ht="13.5" hidden="1" thickBot="1" x14ac:dyDescent="0.25">
      <c r="B95" s="222" t="s">
        <v>115</v>
      </c>
      <c r="C95" s="116">
        <v>5</v>
      </c>
      <c r="D95" s="23">
        <f t="shared" si="43"/>
        <v>13.52</v>
      </c>
      <c r="E95" s="23">
        <f>D95/0.6</f>
        <v>22.533333333333335</v>
      </c>
      <c r="F95" s="24">
        <f t="shared" ref="F95:F101" si="48">ROUNDUP((+$G$2/0.6),0)</f>
        <v>167</v>
      </c>
      <c r="G95" s="94">
        <f t="shared" si="9"/>
        <v>2257.84</v>
      </c>
      <c r="H95" s="13"/>
      <c r="I95" s="118">
        <v>130</v>
      </c>
      <c r="J95" s="3"/>
      <c r="K95" s="150">
        <f t="shared" si="28"/>
        <v>3.9000000000000004</v>
      </c>
      <c r="L95" s="143">
        <v>5</v>
      </c>
      <c r="M95" s="144" t="s">
        <v>31</v>
      </c>
      <c r="O95" s="144"/>
      <c r="P95" s="144"/>
      <c r="Q95" s="144"/>
    </row>
    <row r="96" spans="2:17" ht="13.5" hidden="1" thickBot="1" x14ac:dyDescent="0.25">
      <c r="B96" s="222" t="s">
        <v>116</v>
      </c>
      <c r="C96" s="117">
        <v>6</v>
      </c>
      <c r="D96" s="23">
        <f t="shared" si="43"/>
        <v>16.224000000000004</v>
      </c>
      <c r="E96" s="23">
        <f t="shared" ref="E96:E101" si="49">D96/0.6</f>
        <v>27.040000000000006</v>
      </c>
      <c r="F96" s="24">
        <f t="shared" si="48"/>
        <v>167</v>
      </c>
      <c r="G96" s="94">
        <f t="shared" si="9"/>
        <v>2709.4080000000008</v>
      </c>
      <c r="H96" s="13"/>
      <c r="I96" s="118">
        <v>130</v>
      </c>
      <c r="J96" s="3"/>
      <c r="K96" s="150">
        <f t="shared" si="28"/>
        <v>4.68</v>
      </c>
      <c r="L96" s="143">
        <v>6</v>
      </c>
      <c r="M96" s="144" t="s">
        <v>31</v>
      </c>
      <c r="O96" s="144"/>
      <c r="P96" s="144"/>
      <c r="Q96" s="144"/>
    </row>
    <row r="97" spans="2:17" ht="13.5" hidden="1" thickBot="1" x14ac:dyDescent="0.25">
      <c r="B97" s="222" t="s">
        <v>117</v>
      </c>
      <c r="C97" s="117">
        <v>8</v>
      </c>
      <c r="D97" s="23">
        <f t="shared" si="43"/>
        <v>21.632000000000001</v>
      </c>
      <c r="E97" s="23">
        <f t="shared" si="49"/>
        <v>36.053333333333335</v>
      </c>
      <c r="F97" s="24">
        <f t="shared" si="48"/>
        <v>167</v>
      </c>
      <c r="G97" s="94">
        <f t="shared" si="9"/>
        <v>3612.5440000000003</v>
      </c>
      <c r="H97" s="13"/>
      <c r="I97" s="118">
        <v>130</v>
      </c>
      <c r="J97" s="3"/>
      <c r="K97" s="150">
        <f t="shared" si="28"/>
        <v>6.24</v>
      </c>
      <c r="L97" s="143">
        <v>8</v>
      </c>
      <c r="M97" s="144" t="s">
        <v>31</v>
      </c>
      <c r="O97" s="144"/>
      <c r="P97" s="144"/>
      <c r="Q97" s="144"/>
    </row>
    <row r="98" spans="2:17" ht="13.5" hidden="1" thickBot="1" x14ac:dyDescent="0.25">
      <c r="B98" s="222" t="s">
        <v>118</v>
      </c>
      <c r="C98" s="117">
        <v>10</v>
      </c>
      <c r="D98" s="23">
        <f t="shared" si="43"/>
        <v>27.04</v>
      </c>
      <c r="E98" s="23">
        <f t="shared" si="49"/>
        <v>45.06666666666667</v>
      </c>
      <c r="F98" s="24">
        <f t="shared" si="48"/>
        <v>167</v>
      </c>
      <c r="G98" s="94">
        <f t="shared" si="9"/>
        <v>4515.68</v>
      </c>
      <c r="H98" s="13"/>
      <c r="I98" s="118">
        <v>130</v>
      </c>
      <c r="J98" s="3"/>
      <c r="K98" s="150">
        <f t="shared" si="28"/>
        <v>7.8000000000000007</v>
      </c>
      <c r="L98" s="143">
        <v>10</v>
      </c>
      <c r="M98" s="144" t="s">
        <v>31</v>
      </c>
      <c r="O98" s="144"/>
      <c r="P98" s="144"/>
      <c r="Q98" s="144"/>
    </row>
    <row r="99" spans="2:17" ht="13.5" hidden="1" thickBot="1" x14ac:dyDescent="0.25">
      <c r="B99" s="222" t="s">
        <v>119</v>
      </c>
      <c r="C99" s="117">
        <v>12</v>
      </c>
      <c r="D99" s="23">
        <f t="shared" si="43"/>
        <v>32.448000000000008</v>
      </c>
      <c r="E99" s="23">
        <f t="shared" si="49"/>
        <v>54.080000000000013</v>
      </c>
      <c r="F99" s="24">
        <f t="shared" si="48"/>
        <v>167</v>
      </c>
      <c r="G99" s="94">
        <f t="shared" si="9"/>
        <v>5418.8160000000016</v>
      </c>
      <c r="H99" s="13"/>
      <c r="I99" s="118">
        <v>130</v>
      </c>
      <c r="J99" s="3"/>
      <c r="K99" s="150">
        <f t="shared" si="28"/>
        <v>9.36</v>
      </c>
      <c r="L99" s="143">
        <v>12</v>
      </c>
      <c r="M99" s="144" t="s">
        <v>31</v>
      </c>
      <c r="O99" s="144"/>
      <c r="P99" s="144"/>
      <c r="Q99" s="144"/>
    </row>
    <row r="100" spans="2:17" ht="13.5" hidden="1" thickBot="1" x14ac:dyDescent="0.25">
      <c r="B100" s="222" t="s">
        <v>120</v>
      </c>
      <c r="C100" s="117">
        <v>14</v>
      </c>
      <c r="D100" s="23">
        <f t="shared" si="43"/>
        <v>37.856000000000002</v>
      </c>
      <c r="E100" s="23">
        <f t="shared" si="49"/>
        <v>63.093333333333341</v>
      </c>
      <c r="F100" s="24">
        <f t="shared" si="48"/>
        <v>167</v>
      </c>
      <c r="G100" s="94">
        <f t="shared" si="9"/>
        <v>6321.9520000000002</v>
      </c>
      <c r="H100" s="13"/>
      <c r="I100" s="118">
        <v>130</v>
      </c>
      <c r="J100" s="3"/>
      <c r="K100" s="150">
        <f t="shared" si="28"/>
        <v>10.92</v>
      </c>
      <c r="L100" s="143">
        <v>14</v>
      </c>
      <c r="M100" s="144" t="s">
        <v>31</v>
      </c>
      <c r="O100" s="144"/>
      <c r="P100" s="144"/>
      <c r="Q100" s="144"/>
    </row>
    <row r="101" spans="2:17" ht="13.5" hidden="1" thickBot="1" x14ac:dyDescent="0.25">
      <c r="B101" s="223" t="s">
        <v>121</v>
      </c>
      <c r="C101" s="197">
        <v>16</v>
      </c>
      <c r="D101" s="28">
        <f t="shared" si="43"/>
        <v>43.264000000000003</v>
      </c>
      <c r="E101" s="28">
        <f t="shared" si="49"/>
        <v>72.106666666666669</v>
      </c>
      <c r="F101" s="29">
        <f t="shared" si="48"/>
        <v>167</v>
      </c>
      <c r="G101" s="87">
        <f t="shared" si="9"/>
        <v>7225.0880000000006</v>
      </c>
      <c r="H101" s="127"/>
      <c r="I101" s="118">
        <v>130</v>
      </c>
      <c r="J101" s="3"/>
      <c r="K101" s="150">
        <f t="shared" si="28"/>
        <v>12.48</v>
      </c>
      <c r="L101" s="143">
        <v>16</v>
      </c>
      <c r="M101" s="144" t="s">
        <v>31</v>
      </c>
      <c r="O101" s="144"/>
      <c r="P101" s="144"/>
      <c r="Q101" s="144"/>
    </row>
    <row r="102" spans="2:17" ht="13.5" hidden="1" thickBot="1" x14ac:dyDescent="0.25">
      <c r="B102" s="177" t="s">
        <v>283</v>
      </c>
      <c r="C102" s="116">
        <v>4</v>
      </c>
      <c r="D102" s="198">
        <f>+((I102/100*C102)/2)*1.5/0.5/0.9</f>
        <v>3.333333333333333</v>
      </c>
      <c r="E102" s="194">
        <f>D102*2</f>
        <v>6.6666666666666661</v>
      </c>
      <c r="F102" s="24">
        <f t="shared" ref="F102:F129" si="50">+$G$2*2</f>
        <v>200</v>
      </c>
      <c r="G102" s="195">
        <f t="shared" ref="G102:G129" si="51">ROUNDUP(F102,0)*D102</f>
        <v>666.66666666666663</v>
      </c>
      <c r="H102" s="123"/>
      <c r="I102" s="118">
        <v>50</v>
      </c>
      <c r="J102" s="3"/>
      <c r="K102" s="150">
        <f>+(I102/100)/2*C102</f>
        <v>1</v>
      </c>
      <c r="L102" s="143">
        <v>4</v>
      </c>
      <c r="M102" s="144" t="s">
        <v>27</v>
      </c>
      <c r="O102" s="144" t="s">
        <v>28</v>
      </c>
      <c r="P102" s="144" t="s">
        <v>29</v>
      </c>
      <c r="Q102" s="144"/>
    </row>
    <row r="103" spans="2:17" ht="13.5" hidden="1" thickBot="1" x14ac:dyDescent="0.25">
      <c r="B103" s="177" t="s">
        <v>284</v>
      </c>
      <c r="C103" s="116">
        <v>5</v>
      </c>
      <c r="D103" s="23">
        <f t="shared" ref="D103:D108" si="52">+((I103/100*C103)/2)*1.5/0.5/0.9</f>
        <v>4.166666666666667</v>
      </c>
      <c r="E103" s="23">
        <f t="shared" ref="E103:E108" si="53">D103*2</f>
        <v>8.3333333333333339</v>
      </c>
      <c r="F103" s="24">
        <f t="shared" si="50"/>
        <v>200</v>
      </c>
      <c r="G103" s="94">
        <f t="shared" si="51"/>
        <v>833.33333333333337</v>
      </c>
      <c r="H103" s="13"/>
      <c r="I103" s="118">
        <v>50</v>
      </c>
      <c r="J103" s="3"/>
      <c r="K103" s="150">
        <f t="shared" ref="K103:K108" si="54">+(I103/100)/2*C103</f>
        <v>1.25</v>
      </c>
      <c r="L103" s="143">
        <v>5</v>
      </c>
      <c r="M103" s="144" t="s">
        <v>27</v>
      </c>
      <c r="O103" s="144"/>
      <c r="P103" s="144"/>
      <c r="Q103" s="144"/>
    </row>
    <row r="104" spans="2:17" ht="13.5" hidden="1" thickBot="1" x14ac:dyDescent="0.25">
      <c r="B104" s="177" t="s">
        <v>285</v>
      </c>
      <c r="C104" s="117">
        <v>6</v>
      </c>
      <c r="D104" s="23">
        <f t="shared" si="52"/>
        <v>5</v>
      </c>
      <c r="E104" s="23">
        <f t="shared" si="53"/>
        <v>10</v>
      </c>
      <c r="F104" s="24">
        <f t="shared" si="50"/>
        <v>200</v>
      </c>
      <c r="G104" s="94">
        <f t="shared" si="51"/>
        <v>1000</v>
      </c>
      <c r="H104" s="13"/>
      <c r="I104" s="118">
        <v>50</v>
      </c>
      <c r="J104" s="3"/>
      <c r="K104" s="150">
        <f t="shared" si="54"/>
        <v>1.5</v>
      </c>
      <c r="L104" s="143">
        <v>6</v>
      </c>
      <c r="M104" s="144" t="s">
        <v>27</v>
      </c>
      <c r="O104" s="144"/>
      <c r="P104" s="144"/>
      <c r="Q104" s="144"/>
    </row>
    <row r="105" spans="2:17" ht="13.5" hidden="1" thickBot="1" x14ac:dyDescent="0.25">
      <c r="B105" s="177" t="s">
        <v>286</v>
      </c>
      <c r="C105" s="117">
        <v>8</v>
      </c>
      <c r="D105" s="23">
        <f t="shared" si="52"/>
        <v>6.6666666666666661</v>
      </c>
      <c r="E105" s="23">
        <f t="shared" si="53"/>
        <v>13.333333333333332</v>
      </c>
      <c r="F105" s="24">
        <f t="shared" si="50"/>
        <v>200</v>
      </c>
      <c r="G105" s="94">
        <f t="shared" si="51"/>
        <v>1333.3333333333333</v>
      </c>
      <c r="H105" s="13"/>
      <c r="I105" s="118">
        <v>50</v>
      </c>
      <c r="J105" s="3"/>
      <c r="K105" s="150">
        <f t="shared" si="54"/>
        <v>2</v>
      </c>
      <c r="L105" s="143">
        <v>8</v>
      </c>
      <c r="M105" s="144" t="s">
        <v>27</v>
      </c>
      <c r="O105" s="144"/>
      <c r="P105" s="144"/>
      <c r="Q105" s="144"/>
    </row>
    <row r="106" spans="2:17" ht="13.5" hidden="1" thickBot="1" x14ac:dyDescent="0.25">
      <c r="B106" s="177" t="s">
        <v>287</v>
      </c>
      <c r="C106" s="117">
        <v>10</v>
      </c>
      <c r="D106" s="23">
        <f t="shared" si="52"/>
        <v>8.3333333333333339</v>
      </c>
      <c r="E106" s="23">
        <f t="shared" si="53"/>
        <v>16.666666666666668</v>
      </c>
      <c r="F106" s="24">
        <f t="shared" si="50"/>
        <v>200</v>
      </c>
      <c r="G106" s="94">
        <f t="shared" si="51"/>
        <v>1666.6666666666667</v>
      </c>
      <c r="H106" s="13"/>
      <c r="I106" s="118">
        <v>50</v>
      </c>
      <c r="J106" s="3"/>
      <c r="K106" s="150">
        <f t="shared" si="54"/>
        <v>2.5</v>
      </c>
      <c r="L106" s="143">
        <v>10</v>
      </c>
      <c r="M106" s="144" t="s">
        <v>27</v>
      </c>
      <c r="O106" s="144"/>
      <c r="P106" s="144"/>
      <c r="Q106" s="144"/>
    </row>
    <row r="107" spans="2:17" ht="13.5" hidden="1" thickBot="1" x14ac:dyDescent="0.25">
      <c r="B107" s="177" t="s">
        <v>288</v>
      </c>
      <c r="C107" s="117">
        <v>12</v>
      </c>
      <c r="D107" s="23">
        <f t="shared" si="52"/>
        <v>10</v>
      </c>
      <c r="E107" s="23">
        <f t="shared" si="53"/>
        <v>20</v>
      </c>
      <c r="F107" s="24">
        <f t="shared" si="50"/>
        <v>200</v>
      </c>
      <c r="G107" s="94">
        <f t="shared" si="51"/>
        <v>2000</v>
      </c>
      <c r="H107" s="13"/>
      <c r="I107" s="118">
        <v>50</v>
      </c>
      <c r="J107" s="3"/>
      <c r="K107" s="150">
        <f t="shared" si="54"/>
        <v>3</v>
      </c>
      <c r="L107" s="143">
        <v>12</v>
      </c>
      <c r="M107" s="144" t="s">
        <v>27</v>
      </c>
      <c r="O107" s="144"/>
      <c r="P107" s="144"/>
      <c r="Q107" s="144"/>
    </row>
    <row r="108" spans="2:17" ht="13.5" hidden="1" thickBot="1" x14ac:dyDescent="0.25">
      <c r="B108" s="178" t="s">
        <v>289</v>
      </c>
      <c r="C108" s="124">
        <v>14</v>
      </c>
      <c r="D108" s="125">
        <f t="shared" si="52"/>
        <v>11.666666666666666</v>
      </c>
      <c r="E108" s="125">
        <f t="shared" si="53"/>
        <v>23.333333333333332</v>
      </c>
      <c r="F108" s="113">
        <f t="shared" si="50"/>
        <v>200</v>
      </c>
      <c r="G108" s="126">
        <f t="shared" si="51"/>
        <v>2333.333333333333</v>
      </c>
      <c r="H108" s="127"/>
      <c r="I108" s="118">
        <v>50</v>
      </c>
      <c r="J108" s="3"/>
      <c r="K108" s="150">
        <f t="shared" si="54"/>
        <v>3.5</v>
      </c>
      <c r="L108" s="143">
        <v>14</v>
      </c>
      <c r="M108" s="144" t="s">
        <v>27</v>
      </c>
      <c r="O108" s="144"/>
      <c r="P108" s="144"/>
      <c r="Q108" s="144"/>
    </row>
    <row r="109" spans="2:17" ht="18" hidden="1" thickBot="1" x14ac:dyDescent="0.25">
      <c r="B109" s="185" t="s">
        <v>393</v>
      </c>
      <c r="C109" s="119">
        <v>4</v>
      </c>
      <c r="D109" s="132">
        <f>+((I109/100*C109)/2)*1.5/0.5/0.9</f>
        <v>3.3666666666666667</v>
      </c>
      <c r="E109" s="120">
        <f>D109*2</f>
        <v>6.7333333333333334</v>
      </c>
      <c r="F109" s="121">
        <f t="shared" si="50"/>
        <v>200</v>
      </c>
      <c r="G109" s="122">
        <f t="shared" si="51"/>
        <v>673.33333333333337</v>
      </c>
      <c r="H109" s="372" t="s">
        <v>105</v>
      </c>
      <c r="I109" s="118">
        <v>50.5</v>
      </c>
      <c r="J109" s="3"/>
      <c r="K109" s="150">
        <f>+(I109/100)/2*C109</f>
        <v>1.01</v>
      </c>
      <c r="L109" s="143">
        <v>4</v>
      </c>
      <c r="M109" s="144" t="s">
        <v>27</v>
      </c>
      <c r="O109" s="144" t="s">
        <v>28</v>
      </c>
      <c r="P109" s="144" t="s">
        <v>29</v>
      </c>
      <c r="Q109" s="144"/>
    </row>
    <row r="110" spans="2:17" ht="18" hidden="1" thickBot="1" x14ac:dyDescent="0.25">
      <c r="B110" s="186" t="s">
        <v>394</v>
      </c>
      <c r="C110" s="116">
        <v>5</v>
      </c>
      <c r="D110" s="23">
        <f t="shared" ref="D110:D115" si="55">+((I110/100*C110)/2)*1.5/0.5/0.9</f>
        <v>4.208333333333333</v>
      </c>
      <c r="E110" s="23">
        <f t="shared" ref="E110:E115" si="56">D110*2</f>
        <v>8.4166666666666661</v>
      </c>
      <c r="F110" s="24">
        <f t="shared" si="50"/>
        <v>200</v>
      </c>
      <c r="G110" s="94">
        <f t="shared" si="51"/>
        <v>841.66666666666663</v>
      </c>
      <c r="H110" s="372" t="s">
        <v>105</v>
      </c>
      <c r="I110" s="118">
        <v>50.5</v>
      </c>
      <c r="J110" s="3"/>
      <c r="K110" s="150">
        <f t="shared" ref="K110:K115" si="57">+(I110/100)/2*C110</f>
        <v>1.2625</v>
      </c>
      <c r="L110" s="143">
        <v>5</v>
      </c>
      <c r="M110" s="144" t="s">
        <v>27</v>
      </c>
      <c r="O110" s="144"/>
      <c r="P110" s="144"/>
      <c r="Q110" s="144"/>
    </row>
    <row r="111" spans="2:17" ht="18" hidden="1" thickBot="1" x14ac:dyDescent="0.25">
      <c r="B111" s="186" t="s">
        <v>395</v>
      </c>
      <c r="C111" s="117">
        <v>6</v>
      </c>
      <c r="D111" s="23">
        <f t="shared" si="55"/>
        <v>5.05</v>
      </c>
      <c r="E111" s="23">
        <f t="shared" si="56"/>
        <v>10.1</v>
      </c>
      <c r="F111" s="24">
        <f t="shared" si="50"/>
        <v>200</v>
      </c>
      <c r="G111" s="94">
        <f t="shared" si="51"/>
        <v>1010</v>
      </c>
      <c r="H111" s="372" t="s">
        <v>105</v>
      </c>
      <c r="I111" s="118">
        <v>50.5</v>
      </c>
      <c r="J111" s="3"/>
      <c r="K111" s="150">
        <f t="shared" si="57"/>
        <v>1.5150000000000001</v>
      </c>
      <c r="L111" s="143">
        <v>6</v>
      </c>
      <c r="M111" s="144" t="s">
        <v>27</v>
      </c>
      <c r="O111" s="144"/>
      <c r="P111" s="144"/>
      <c r="Q111" s="144"/>
    </row>
    <row r="112" spans="2:17" ht="18" hidden="1" thickBot="1" x14ac:dyDescent="0.25">
      <c r="B112" s="186" t="s">
        <v>396</v>
      </c>
      <c r="C112" s="117">
        <v>8</v>
      </c>
      <c r="D112" s="23">
        <f t="shared" si="55"/>
        <v>6.7333333333333334</v>
      </c>
      <c r="E112" s="23">
        <f t="shared" si="56"/>
        <v>13.466666666666667</v>
      </c>
      <c r="F112" s="24">
        <f t="shared" si="50"/>
        <v>200</v>
      </c>
      <c r="G112" s="94">
        <f t="shared" si="51"/>
        <v>1346.6666666666667</v>
      </c>
      <c r="H112" s="372" t="s">
        <v>105</v>
      </c>
      <c r="I112" s="118">
        <v>50.5</v>
      </c>
      <c r="J112" s="3"/>
      <c r="K112" s="150">
        <f t="shared" si="57"/>
        <v>2.02</v>
      </c>
      <c r="L112" s="143">
        <v>8</v>
      </c>
      <c r="M112" s="144" t="s">
        <v>27</v>
      </c>
      <c r="O112" s="144"/>
      <c r="P112" s="144"/>
      <c r="Q112" s="144"/>
    </row>
    <row r="113" spans="2:17" ht="13.5" hidden="1" thickBot="1" x14ac:dyDescent="0.25">
      <c r="B113" s="186" t="s">
        <v>397</v>
      </c>
      <c r="C113" s="117">
        <v>10</v>
      </c>
      <c r="D113" s="23">
        <f t="shared" si="55"/>
        <v>8.4166666666666661</v>
      </c>
      <c r="E113" s="23">
        <f t="shared" si="56"/>
        <v>16.833333333333332</v>
      </c>
      <c r="F113" s="24">
        <f t="shared" si="50"/>
        <v>200</v>
      </c>
      <c r="G113" s="94">
        <f t="shared" si="51"/>
        <v>1683.3333333333333</v>
      </c>
      <c r="H113" s="13"/>
      <c r="I113" s="118">
        <v>50.5</v>
      </c>
      <c r="J113" s="3"/>
      <c r="K113" s="150">
        <f t="shared" si="57"/>
        <v>2.5249999999999999</v>
      </c>
      <c r="L113" s="143">
        <v>10</v>
      </c>
      <c r="M113" s="144" t="s">
        <v>27</v>
      </c>
      <c r="O113" s="144"/>
      <c r="P113" s="144"/>
      <c r="Q113" s="144"/>
    </row>
    <row r="114" spans="2:17" ht="13.5" hidden="1" thickBot="1" x14ac:dyDescent="0.25">
      <c r="B114" s="186" t="s">
        <v>398</v>
      </c>
      <c r="C114" s="117">
        <v>12</v>
      </c>
      <c r="D114" s="23">
        <f t="shared" si="55"/>
        <v>10.1</v>
      </c>
      <c r="E114" s="23">
        <f t="shared" si="56"/>
        <v>20.2</v>
      </c>
      <c r="F114" s="24">
        <f t="shared" si="50"/>
        <v>200</v>
      </c>
      <c r="G114" s="94">
        <f t="shared" si="51"/>
        <v>2020</v>
      </c>
      <c r="H114" s="13"/>
      <c r="I114" s="118">
        <v>50.5</v>
      </c>
      <c r="J114" s="3"/>
      <c r="K114" s="150">
        <f t="shared" si="57"/>
        <v>3.0300000000000002</v>
      </c>
      <c r="L114" s="143">
        <v>12</v>
      </c>
      <c r="M114" s="144" t="s">
        <v>27</v>
      </c>
      <c r="O114" s="144"/>
      <c r="P114" s="144"/>
      <c r="Q114" s="144"/>
    </row>
    <row r="115" spans="2:17" ht="13.5" hidden="1" thickBot="1" x14ac:dyDescent="0.25">
      <c r="B115" s="187" t="s">
        <v>399</v>
      </c>
      <c r="C115" s="124">
        <v>14</v>
      </c>
      <c r="D115" s="125">
        <f t="shared" si="55"/>
        <v>11.783333333333333</v>
      </c>
      <c r="E115" s="125">
        <f t="shared" si="56"/>
        <v>23.566666666666666</v>
      </c>
      <c r="F115" s="113">
        <f t="shared" si="50"/>
        <v>200</v>
      </c>
      <c r="G115" s="126">
        <f t="shared" si="51"/>
        <v>2356.6666666666665</v>
      </c>
      <c r="H115" s="127"/>
      <c r="I115" s="118">
        <v>50.5</v>
      </c>
      <c r="J115" s="3"/>
      <c r="K115" s="150">
        <f t="shared" si="57"/>
        <v>3.5350000000000001</v>
      </c>
      <c r="L115" s="143">
        <v>14</v>
      </c>
      <c r="M115" s="144" t="s">
        <v>27</v>
      </c>
      <c r="O115" s="144"/>
      <c r="P115" s="144"/>
      <c r="Q115" s="144"/>
    </row>
    <row r="116" spans="2:17" ht="13.5" hidden="1" thickBot="1" x14ac:dyDescent="0.25">
      <c r="B116" s="182" t="s">
        <v>290</v>
      </c>
      <c r="C116" s="119">
        <v>4</v>
      </c>
      <c r="D116" s="132">
        <f>+((I116/100*C116)/2)*1.5/0.5/0.9</f>
        <v>3.666666666666667</v>
      </c>
      <c r="E116" s="120">
        <f>D116*2</f>
        <v>7.3333333333333339</v>
      </c>
      <c r="F116" s="121">
        <f t="shared" si="50"/>
        <v>200</v>
      </c>
      <c r="G116" s="122">
        <f t="shared" si="51"/>
        <v>733.33333333333337</v>
      </c>
      <c r="H116" s="123"/>
      <c r="I116" s="118">
        <v>55</v>
      </c>
      <c r="J116" s="3"/>
      <c r="K116" s="150">
        <f>+(I116/100)/2*C116</f>
        <v>1.1000000000000001</v>
      </c>
      <c r="L116" s="143">
        <v>4</v>
      </c>
      <c r="M116" s="144" t="s">
        <v>27</v>
      </c>
      <c r="O116" s="144" t="s">
        <v>28</v>
      </c>
      <c r="P116" s="144" t="s">
        <v>29</v>
      </c>
      <c r="Q116" s="144"/>
    </row>
    <row r="117" spans="2:17" ht="13.5" hidden="1" thickBot="1" x14ac:dyDescent="0.25">
      <c r="B117" s="183" t="s">
        <v>291</v>
      </c>
      <c r="C117" s="116">
        <v>5</v>
      </c>
      <c r="D117" s="23">
        <f t="shared" ref="D117:D122" si="58">+((I117/100*C117)/2)*1.5/0.5/0.9</f>
        <v>4.583333333333333</v>
      </c>
      <c r="E117" s="23">
        <f t="shared" ref="E117:E122" si="59">D117*2</f>
        <v>9.1666666666666661</v>
      </c>
      <c r="F117" s="24">
        <f t="shared" si="50"/>
        <v>200</v>
      </c>
      <c r="G117" s="94">
        <f t="shared" si="51"/>
        <v>916.66666666666663</v>
      </c>
      <c r="H117" s="13"/>
      <c r="I117" s="118">
        <v>55</v>
      </c>
      <c r="J117" s="3"/>
      <c r="K117" s="150">
        <f t="shared" ref="K117:K122" si="60">+(I117/100)/2*C117</f>
        <v>1.375</v>
      </c>
      <c r="L117" s="143">
        <v>5</v>
      </c>
      <c r="M117" s="144" t="s">
        <v>27</v>
      </c>
      <c r="O117" s="144"/>
      <c r="P117" s="144"/>
      <c r="Q117" s="144"/>
    </row>
    <row r="118" spans="2:17" ht="13.5" hidden="1" thickBot="1" x14ac:dyDescent="0.25">
      <c r="B118" s="183" t="s">
        <v>292</v>
      </c>
      <c r="C118" s="117">
        <v>6</v>
      </c>
      <c r="D118" s="23">
        <f t="shared" si="58"/>
        <v>5.5</v>
      </c>
      <c r="E118" s="23">
        <f t="shared" si="59"/>
        <v>11</v>
      </c>
      <c r="F118" s="24">
        <f t="shared" si="50"/>
        <v>200</v>
      </c>
      <c r="G118" s="94">
        <f t="shared" si="51"/>
        <v>1100</v>
      </c>
      <c r="H118" s="13"/>
      <c r="I118" s="118">
        <v>55</v>
      </c>
      <c r="J118" s="3"/>
      <c r="K118" s="150">
        <f t="shared" si="60"/>
        <v>1.6500000000000001</v>
      </c>
      <c r="L118" s="143">
        <v>6</v>
      </c>
      <c r="M118" s="144" t="s">
        <v>27</v>
      </c>
      <c r="O118" s="144"/>
      <c r="P118" s="144"/>
      <c r="Q118" s="144"/>
    </row>
    <row r="119" spans="2:17" ht="13.5" hidden="1" thickBot="1" x14ac:dyDescent="0.25">
      <c r="B119" s="183" t="s">
        <v>293</v>
      </c>
      <c r="C119" s="117">
        <v>8</v>
      </c>
      <c r="D119" s="23">
        <f t="shared" si="58"/>
        <v>7.3333333333333339</v>
      </c>
      <c r="E119" s="23">
        <f t="shared" si="59"/>
        <v>14.666666666666668</v>
      </c>
      <c r="F119" s="24">
        <f t="shared" si="50"/>
        <v>200</v>
      </c>
      <c r="G119" s="94">
        <f t="shared" si="51"/>
        <v>1466.6666666666667</v>
      </c>
      <c r="H119" s="13"/>
      <c r="I119" s="118">
        <v>55</v>
      </c>
      <c r="J119" s="3"/>
      <c r="K119" s="150">
        <f t="shared" si="60"/>
        <v>2.2000000000000002</v>
      </c>
      <c r="L119" s="143">
        <v>8</v>
      </c>
      <c r="M119" s="144" t="s">
        <v>27</v>
      </c>
      <c r="O119" s="144"/>
      <c r="P119" s="144"/>
      <c r="Q119" s="144"/>
    </row>
    <row r="120" spans="2:17" ht="13.5" hidden="1" thickBot="1" x14ac:dyDescent="0.25">
      <c r="B120" s="183" t="s">
        <v>294</v>
      </c>
      <c r="C120" s="117">
        <v>10</v>
      </c>
      <c r="D120" s="23">
        <f t="shared" si="58"/>
        <v>9.1666666666666661</v>
      </c>
      <c r="E120" s="23">
        <f t="shared" si="59"/>
        <v>18.333333333333332</v>
      </c>
      <c r="F120" s="24">
        <f t="shared" si="50"/>
        <v>200</v>
      </c>
      <c r="G120" s="94">
        <f t="shared" si="51"/>
        <v>1833.3333333333333</v>
      </c>
      <c r="H120" s="13"/>
      <c r="I120" s="118">
        <v>55</v>
      </c>
      <c r="J120" s="3"/>
      <c r="K120" s="150">
        <f t="shared" si="60"/>
        <v>2.75</v>
      </c>
      <c r="L120" s="143">
        <v>10</v>
      </c>
      <c r="M120" s="144" t="s">
        <v>27</v>
      </c>
      <c r="O120" s="144"/>
      <c r="P120" s="144"/>
      <c r="Q120" s="144"/>
    </row>
    <row r="121" spans="2:17" ht="13.5" hidden="1" thickBot="1" x14ac:dyDescent="0.25">
      <c r="B121" s="183" t="s">
        <v>295</v>
      </c>
      <c r="C121" s="117">
        <v>12</v>
      </c>
      <c r="D121" s="23">
        <f t="shared" si="58"/>
        <v>11</v>
      </c>
      <c r="E121" s="23">
        <f t="shared" si="59"/>
        <v>22</v>
      </c>
      <c r="F121" s="24">
        <f t="shared" si="50"/>
        <v>200</v>
      </c>
      <c r="G121" s="94">
        <f t="shared" si="51"/>
        <v>2200</v>
      </c>
      <c r="H121" s="13"/>
      <c r="I121" s="118">
        <v>55</v>
      </c>
      <c r="J121" s="3"/>
      <c r="K121" s="150">
        <f t="shared" si="60"/>
        <v>3.3000000000000003</v>
      </c>
      <c r="L121" s="143">
        <v>12</v>
      </c>
      <c r="M121" s="144" t="s">
        <v>27</v>
      </c>
      <c r="O121" s="144"/>
      <c r="P121" s="144"/>
      <c r="Q121" s="144"/>
    </row>
    <row r="122" spans="2:17" ht="13.5" hidden="1" thickBot="1" x14ac:dyDescent="0.25">
      <c r="B122" s="184" t="s">
        <v>296</v>
      </c>
      <c r="C122" s="124">
        <v>14</v>
      </c>
      <c r="D122" s="125">
        <f t="shared" si="58"/>
        <v>12.833333333333334</v>
      </c>
      <c r="E122" s="125">
        <f t="shared" si="59"/>
        <v>25.666666666666668</v>
      </c>
      <c r="F122" s="113">
        <f t="shared" si="50"/>
        <v>200</v>
      </c>
      <c r="G122" s="126">
        <f t="shared" si="51"/>
        <v>2566.666666666667</v>
      </c>
      <c r="H122" s="127"/>
      <c r="I122" s="118">
        <v>55</v>
      </c>
      <c r="J122" s="3"/>
      <c r="K122" s="150">
        <f t="shared" si="60"/>
        <v>3.8500000000000005</v>
      </c>
      <c r="L122" s="143">
        <v>14</v>
      </c>
      <c r="M122" s="144" t="s">
        <v>27</v>
      </c>
      <c r="O122" s="144"/>
      <c r="P122" s="144"/>
      <c r="Q122" s="144"/>
    </row>
    <row r="123" spans="2:17" ht="13.5" hidden="1" thickBot="1" x14ac:dyDescent="0.25">
      <c r="B123" s="188" t="s">
        <v>141</v>
      </c>
      <c r="C123" s="119">
        <v>4</v>
      </c>
      <c r="D123" s="132">
        <f>+((I123/100*C123)/2)*1.5/0.5/0.9</f>
        <v>0</v>
      </c>
      <c r="E123" s="120">
        <f>D123*2</f>
        <v>0</v>
      </c>
      <c r="F123" s="121">
        <f t="shared" si="50"/>
        <v>200</v>
      </c>
      <c r="G123" s="122">
        <f t="shared" si="51"/>
        <v>0</v>
      </c>
      <c r="H123" s="123"/>
      <c r="I123" s="118">
        <v>0</v>
      </c>
      <c r="J123" s="3"/>
      <c r="K123" s="150">
        <f>+(I123/100)/2*C123</f>
        <v>0</v>
      </c>
      <c r="L123" s="143">
        <v>4</v>
      </c>
      <c r="M123" s="144" t="s">
        <v>27</v>
      </c>
      <c r="O123" s="144" t="s">
        <v>28</v>
      </c>
      <c r="P123" s="144" t="s">
        <v>29</v>
      </c>
      <c r="Q123" s="144"/>
    </row>
    <row r="124" spans="2:17" ht="13.5" hidden="1" thickBot="1" x14ac:dyDescent="0.25">
      <c r="B124" s="189" t="s">
        <v>142</v>
      </c>
      <c r="C124" s="116">
        <v>5</v>
      </c>
      <c r="D124" s="23">
        <f t="shared" ref="D124:D129" si="61">+((I124/100*C124)/2)*1.5/0.5/0.9</f>
        <v>0</v>
      </c>
      <c r="E124" s="23">
        <f t="shared" ref="E124:E129" si="62">D124*2</f>
        <v>0</v>
      </c>
      <c r="F124" s="24">
        <f t="shared" si="50"/>
        <v>200</v>
      </c>
      <c r="G124" s="94">
        <f t="shared" si="51"/>
        <v>0</v>
      </c>
      <c r="H124" s="13"/>
      <c r="I124" s="118">
        <v>0</v>
      </c>
      <c r="J124" s="3"/>
      <c r="K124" s="150">
        <f t="shared" ref="K124:K129" si="63">+(I124/100)/2*C124</f>
        <v>0</v>
      </c>
      <c r="L124" s="143">
        <v>5</v>
      </c>
      <c r="M124" s="144" t="s">
        <v>27</v>
      </c>
      <c r="O124" s="144"/>
      <c r="P124" s="144"/>
      <c r="Q124" s="144"/>
    </row>
    <row r="125" spans="2:17" ht="13.5" hidden="1" thickBot="1" x14ac:dyDescent="0.25">
      <c r="B125" s="189" t="s">
        <v>143</v>
      </c>
      <c r="C125" s="117">
        <v>6</v>
      </c>
      <c r="D125" s="23">
        <f t="shared" si="61"/>
        <v>0</v>
      </c>
      <c r="E125" s="23">
        <f t="shared" si="62"/>
        <v>0</v>
      </c>
      <c r="F125" s="24">
        <f t="shared" si="50"/>
        <v>200</v>
      </c>
      <c r="G125" s="94">
        <f t="shared" si="51"/>
        <v>0</v>
      </c>
      <c r="H125" s="13"/>
      <c r="I125" s="118">
        <v>0</v>
      </c>
      <c r="J125" s="3"/>
      <c r="K125" s="150">
        <f t="shared" si="63"/>
        <v>0</v>
      </c>
      <c r="L125" s="143">
        <v>6</v>
      </c>
      <c r="M125" s="144" t="s">
        <v>27</v>
      </c>
      <c r="O125" s="144"/>
      <c r="P125" s="144"/>
      <c r="Q125" s="144"/>
    </row>
    <row r="126" spans="2:17" ht="13.5" hidden="1" thickBot="1" x14ac:dyDescent="0.25">
      <c r="B126" s="189" t="s">
        <v>144</v>
      </c>
      <c r="C126" s="117">
        <v>8</v>
      </c>
      <c r="D126" s="23">
        <f t="shared" si="61"/>
        <v>0</v>
      </c>
      <c r="E126" s="23">
        <f t="shared" si="62"/>
        <v>0</v>
      </c>
      <c r="F126" s="24">
        <f t="shared" si="50"/>
        <v>200</v>
      </c>
      <c r="G126" s="94">
        <f t="shared" si="51"/>
        <v>0</v>
      </c>
      <c r="H126" s="13"/>
      <c r="I126" s="118">
        <v>0</v>
      </c>
      <c r="J126" s="3"/>
      <c r="K126" s="150">
        <f t="shared" si="63"/>
        <v>0</v>
      </c>
      <c r="L126" s="143">
        <v>8</v>
      </c>
      <c r="M126" s="144" t="s">
        <v>27</v>
      </c>
      <c r="O126" s="144"/>
      <c r="P126" s="144"/>
      <c r="Q126" s="144"/>
    </row>
    <row r="127" spans="2:17" ht="13.5" hidden="1" thickBot="1" x14ac:dyDescent="0.25">
      <c r="B127" s="189" t="s">
        <v>145</v>
      </c>
      <c r="C127" s="117">
        <v>10</v>
      </c>
      <c r="D127" s="23">
        <f t="shared" si="61"/>
        <v>0</v>
      </c>
      <c r="E127" s="23">
        <f t="shared" si="62"/>
        <v>0</v>
      </c>
      <c r="F127" s="24">
        <f t="shared" si="50"/>
        <v>200</v>
      </c>
      <c r="G127" s="94">
        <f t="shared" si="51"/>
        <v>0</v>
      </c>
      <c r="H127" s="13"/>
      <c r="I127" s="118">
        <v>0</v>
      </c>
      <c r="J127" s="3"/>
      <c r="K127" s="150">
        <f t="shared" si="63"/>
        <v>0</v>
      </c>
      <c r="L127" s="143">
        <v>10</v>
      </c>
      <c r="M127" s="144" t="s">
        <v>27</v>
      </c>
      <c r="O127" s="144"/>
      <c r="P127" s="144"/>
      <c r="Q127" s="144"/>
    </row>
    <row r="128" spans="2:17" ht="13.5" hidden="1" thickBot="1" x14ac:dyDescent="0.25">
      <c r="B128" s="189" t="s">
        <v>146</v>
      </c>
      <c r="C128" s="117">
        <v>12</v>
      </c>
      <c r="D128" s="23">
        <f t="shared" si="61"/>
        <v>0</v>
      </c>
      <c r="E128" s="23">
        <f t="shared" si="62"/>
        <v>0</v>
      </c>
      <c r="F128" s="24">
        <f t="shared" si="50"/>
        <v>200</v>
      </c>
      <c r="G128" s="94">
        <f t="shared" si="51"/>
        <v>0</v>
      </c>
      <c r="H128" s="13"/>
      <c r="I128" s="118">
        <v>0</v>
      </c>
      <c r="J128" s="3"/>
      <c r="K128" s="150">
        <f t="shared" si="63"/>
        <v>0</v>
      </c>
      <c r="L128" s="143">
        <v>12</v>
      </c>
      <c r="M128" s="144" t="s">
        <v>27</v>
      </c>
      <c r="O128" s="144"/>
      <c r="P128" s="144"/>
      <c r="Q128" s="144"/>
    </row>
    <row r="129" spans="2:17" ht="13.5" hidden="1" thickBot="1" x14ac:dyDescent="0.25">
      <c r="B129" s="190" t="s">
        <v>165</v>
      </c>
      <c r="C129" s="124">
        <v>14</v>
      </c>
      <c r="D129" s="125">
        <f t="shared" si="61"/>
        <v>0</v>
      </c>
      <c r="E129" s="125">
        <f t="shared" si="62"/>
        <v>0</v>
      </c>
      <c r="F129" s="113">
        <f t="shared" si="50"/>
        <v>200</v>
      </c>
      <c r="G129" s="126">
        <f t="shared" si="51"/>
        <v>0</v>
      </c>
      <c r="H129" s="127"/>
      <c r="I129" s="118">
        <v>0</v>
      </c>
      <c r="J129" s="3"/>
      <c r="K129" s="150">
        <f t="shared" si="63"/>
        <v>0</v>
      </c>
      <c r="L129" s="143">
        <v>14</v>
      </c>
      <c r="M129" s="144" t="s">
        <v>27</v>
      </c>
      <c r="O129" s="144"/>
      <c r="P129" s="144"/>
      <c r="Q129" s="144"/>
    </row>
    <row r="130" spans="2:17" ht="13.5" hidden="1" thickBot="1" x14ac:dyDescent="0.25">
      <c r="B130" s="185" t="s">
        <v>400</v>
      </c>
      <c r="C130" s="119">
        <v>4</v>
      </c>
      <c r="D130" s="132">
        <f>+((I130/100*C130)/2)*1.5/0.5/0.9</f>
        <v>3.7</v>
      </c>
      <c r="E130" s="120">
        <f>D130*2</f>
        <v>7.4</v>
      </c>
      <c r="F130" s="121">
        <f t="shared" ref="F130:F143" si="64">+$G$2*2</f>
        <v>200</v>
      </c>
      <c r="G130" s="122">
        <f t="shared" ref="G130:G143" si="65">ROUNDUP(F130,0)*D130</f>
        <v>740</v>
      </c>
      <c r="H130" s="123"/>
      <c r="I130" s="118">
        <v>55.5</v>
      </c>
      <c r="J130" s="3"/>
      <c r="K130" s="150">
        <f>+(I130/100)/2*C130</f>
        <v>1.1100000000000001</v>
      </c>
      <c r="L130" s="143">
        <v>4</v>
      </c>
      <c r="M130" s="144" t="s">
        <v>27</v>
      </c>
      <c r="O130" s="144" t="s">
        <v>28</v>
      </c>
      <c r="P130" s="144" t="s">
        <v>29</v>
      </c>
      <c r="Q130" s="144"/>
    </row>
    <row r="131" spans="2:17" ht="13.5" hidden="1" thickBot="1" x14ac:dyDescent="0.25">
      <c r="B131" s="186" t="s">
        <v>401</v>
      </c>
      <c r="C131" s="116">
        <v>5</v>
      </c>
      <c r="D131" s="23">
        <f t="shared" ref="D131:D136" si="66">+((I131/100*C131)/2)*1.5/0.5/0.9</f>
        <v>4.6250000000000009</v>
      </c>
      <c r="E131" s="23">
        <f t="shared" ref="E131:E136" si="67">D131*2</f>
        <v>9.2500000000000018</v>
      </c>
      <c r="F131" s="24">
        <f t="shared" si="64"/>
        <v>200</v>
      </c>
      <c r="G131" s="94">
        <f t="shared" si="65"/>
        <v>925.00000000000023</v>
      </c>
      <c r="H131" s="13"/>
      <c r="I131" s="118">
        <v>55.5</v>
      </c>
      <c r="J131" s="3"/>
      <c r="K131" s="150">
        <f t="shared" ref="K131:K136" si="68">+(I131/100)/2*C131</f>
        <v>1.3875000000000002</v>
      </c>
      <c r="L131" s="143">
        <v>5</v>
      </c>
      <c r="M131" s="144" t="s">
        <v>27</v>
      </c>
      <c r="O131" s="144"/>
      <c r="P131" s="144"/>
      <c r="Q131" s="144"/>
    </row>
    <row r="132" spans="2:17" ht="13.5" hidden="1" thickBot="1" x14ac:dyDescent="0.25">
      <c r="B132" s="186" t="s">
        <v>402</v>
      </c>
      <c r="C132" s="117">
        <v>6</v>
      </c>
      <c r="D132" s="23">
        <f t="shared" si="66"/>
        <v>5.55</v>
      </c>
      <c r="E132" s="23">
        <f t="shared" si="67"/>
        <v>11.1</v>
      </c>
      <c r="F132" s="24">
        <f t="shared" si="64"/>
        <v>200</v>
      </c>
      <c r="G132" s="94">
        <f t="shared" si="65"/>
        <v>1110</v>
      </c>
      <c r="H132" s="13"/>
      <c r="I132" s="118">
        <v>55.5</v>
      </c>
      <c r="J132" s="3"/>
      <c r="K132" s="150">
        <f t="shared" si="68"/>
        <v>1.665</v>
      </c>
      <c r="L132" s="143">
        <v>6</v>
      </c>
      <c r="M132" s="144" t="s">
        <v>27</v>
      </c>
      <c r="O132" s="144"/>
      <c r="P132" s="144"/>
      <c r="Q132" s="144"/>
    </row>
    <row r="133" spans="2:17" ht="13.5" hidden="1" thickBot="1" x14ac:dyDescent="0.25">
      <c r="B133" s="186" t="s">
        <v>403</v>
      </c>
      <c r="C133" s="117">
        <v>8</v>
      </c>
      <c r="D133" s="23">
        <f t="shared" si="66"/>
        <v>7.4</v>
      </c>
      <c r="E133" s="23">
        <f t="shared" si="67"/>
        <v>14.8</v>
      </c>
      <c r="F133" s="24">
        <f t="shared" si="64"/>
        <v>200</v>
      </c>
      <c r="G133" s="94">
        <f t="shared" si="65"/>
        <v>1480</v>
      </c>
      <c r="H133" s="13"/>
      <c r="I133" s="118">
        <v>55.5</v>
      </c>
      <c r="J133" s="3"/>
      <c r="K133" s="150">
        <f t="shared" si="68"/>
        <v>2.2200000000000002</v>
      </c>
      <c r="L133" s="143">
        <v>8</v>
      </c>
      <c r="M133" s="144" t="s">
        <v>27</v>
      </c>
      <c r="O133" s="144"/>
      <c r="P133" s="144"/>
      <c r="Q133" s="144"/>
    </row>
    <row r="134" spans="2:17" ht="13.5" hidden="1" thickBot="1" x14ac:dyDescent="0.25">
      <c r="B134" s="186" t="s">
        <v>404</v>
      </c>
      <c r="C134" s="117">
        <v>10</v>
      </c>
      <c r="D134" s="23">
        <f t="shared" si="66"/>
        <v>9.2500000000000018</v>
      </c>
      <c r="E134" s="23">
        <f t="shared" si="67"/>
        <v>18.500000000000004</v>
      </c>
      <c r="F134" s="24">
        <f t="shared" si="64"/>
        <v>200</v>
      </c>
      <c r="G134" s="94">
        <f t="shared" si="65"/>
        <v>1850.0000000000005</v>
      </c>
      <c r="H134" s="13"/>
      <c r="I134" s="118">
        <v>55.5</v>
      </c>
      <c r="J134" s="3"/>
      <c r="K134" s="150">
        <f t="shared" si="68"/>
        <v>2.7750000000000004</v>
      </c>
      <c r="L134" s="143">
        <v>10</v>
      </c>
      <c r="M134" s="144" t="s">
        <v>27</v>
      </c>
      <c r="O134" s="144"/>
      <c r="P134" s="144"/>
      <c r="Q134" s="144"/>
    </row>
    <row r="135" spans="2:17" ht="13.5" hidden="1" thickBot="1" x14ac:dyDescent="0.25">
      <c r="B135" s="186" t="s">
        <v>405</v>
      </c>
      <c r="C135" s="117">
        <v>12</v>
      </c>
      <c r="D135" s="23">
        <f t="shared" si="66"/>
        <v>11.1</v>
      </c>
      <c r="E135" s="23">
        <f t="shared" si="67"/>
        <v>22.2</v>
      </c>
      <c r="F135" s="24">
        <f t="shared" si="64"/>
        <v>200</v>
      </c>
      <c r="G135" s="94">
        <f t="shared" si="65"/>
        <v>2220</v>
      </c>
      <c r="H135" s="13"/>
      <c r="I135" s="118">
        <v>55.5</v>
      </c>
      <c r="J135" s="3"/>
      <c r="K135" s="150">
        <f t="shared" si="68"/>
        <v>3.33</v>
      </c>
      <c r="L135" s="143">
        <v>12</v>
      </c>
      <c r="M135" s="144" t="s">
        <v>27</v>
      </c>
      <c r="O135" s="144"/>
      <c r="P135" s="144"/>
      <c r="Q135" s="144"/>
    </row>
    <row r="136" spans="2:17" ht="13.5" hidden="1" thickBot="1" x14ac:dyDescent="0.25">
      <c r="B136" s="187" t="s">
        <v>406</v>
      </c>
      <c r="C136" s="124">
        <v>14</v>
      </c>
      <c r="D136" s="125">
        <f t="shared" si="66"/>
        <v>12.950000000000001</v>
      </c>
      <c r="E136" s="125">
        <f t="shared" si="67"/>
        <v>25.900000000000002</v>
      </c>
      <c r="F136" s="113">
        <f t="shared" si="64"/>
        <v>200</v>
      </c>
      <c r="G136" s="126">
        <f t="shared" si="65"/>
        <v>2590</v>
      </c>
      <c r="H136" s="127"/>
      <c r="I136" s="118">
        <v>55.5</v>
      </c>
      <c r="J136" s="3"/>
      <c r="K136" s="150">
        <f t="shared" si="68"/>
        <v>3.8850000000000002</v>
      </c>
      <c r="L136" s="143">
        <v>14</v>
      </c>
      <c r="M136" s="144" t="s">
        <v>27</v>
      </c>
      <c r="O136" s="144"/>
      <c r="P136" s="144"/>
      <c r="Q136" s="144"/>
    </row>
    <row r="137" spans="2:17" ht="13.5" hidden="1" thickBot="1" x14ac:dyDescent="0.25">
      <c r="B137" s="185" t="s">
        <v>407</v>
      </c>
      <c r="C137" s="119">
        <v>4</v>
      </c>
      <c r="D137" s="132">
        <f>+((I137/100*C137)/2)*1.5/0.5/0.9</f>
        <v>0</v>
      </c>
      <c r="E137" s="120">
        <f>D137*2</f>
        <v>0</v>
      </c>
      <c r="F137" s="121">
        <f t="shared" si="64"/>
        <v>200</v>
      </c>
      <c r="G137" s="122">
        <f t="shared" si="65"/>
        <v>0</v>
      </c>
      <c r="H137" s="123"/>
      <c r="I137" s="118">
        <v>0</v>
      </c>
      <c r="J137" s="3"/>
      <c r="K137" s="150">
        <f>+(I137/100)/2*C137</f>
        <v>0</v>
      </c>
      <c r="L137" s="143">
        <v>4</v>
      </c>
      <c r="M137" s="144" t="s">
        <v>27</v>
      </c>
      <c r="O137" s="144" t="s">
        <v>28</v>
      </c>
      <c r="P137" s="144" t="s">
        <v>29</v>
      </c>
      <c r="Q137" s="144"/>
    </row>
    <row r="138" spans="2:17" ht="13.5" hidden="1" thickBot="1" x14ac:dyDescent="0.25">
      <c r="B138" s="186" t="s">
        <v>408</v>
      </c>
      <c r="C138" s="116">
        <v>5</v>
      </c>
      <c r="D138" s="23">
        <f t="shared" ref="D138:D143" si="69">+((I138/100*C138)/2)*1.5/0.5/0.9</f>
        <v>0</v>
      </c>
      <c r="E138" s="23">
        <f t="shared" ref="E138:E143" si="70">D138*2</f>
        <v>0</v>
      </c>
      <c r="F138" s="24">
        <f t="shared" si="64"/>
        <v>200</v>
      </c>
      <c r="G138" s="94">
        <f t="shared" si="65"/>
        <v>0</v>
      </c>
      <c r="H138" s="13"/>
      <c r="I138" s="118">
        <v>0</v>
      </c>
      <c r="J138" s="3"/>
      <c r="K138" s="150">
        <f t="shared" ref="K138:K143" si="71">+(I138/100)/2*C138</f>
        <v>0</v>
      </c>
      <c r="L138" s="143">
        <v>5</v>
      </c>
      <c r="M138" s="144" t="s">
        <v>27</v>
      </c>
      <c r="O138" s="144"/>
      <c r="P138" s="144"/>
      <c r="Q138" s="144"/>
    </row>
    <row r="139" spans="2:17" ht="13.5" hidden="1" thickBot="1" x14ac:dyDescent="0.25">
      <c r="B139" s="186" t="s">
        <v>409</v>
      </c>
      <c r="C139" s="117">
        <v>6</v>
      </c>
      <c r="D139" s="23">
        <f t="shared" si="69"/>
        <v>0</v>
      </c>
      <c r="E139" s="23">
        <f t="shared" si="70"/>
        <v>0</v>
      </c>
      <c r="F139" s="24">
        <f t="shared" si="64"/>
        <v>200</v>
      </c>
      <c r="G139" s="94">
        <f t="shared" si="65"/>
        <v>0</v>
      </c>
      <c r="H139" s="13"/>
      <c r="I139" s="118">
        <v>0</v>
      </c>
      <c r="J139" s="3"/>
      <c r="K139" s="150">
        <f t="shared" si="71"/>
        <v>0</v>
      </c>
      <c r="L139" s="143">
        <v>6</v>
      </c>
      <c r="M139" s="144" t="s">
        <v>27</v>
      </c>
      <c r="O139" s="144"/>
      <c r="P139" s="144"/>
      <c r="Q139" s="144"/>
    </row>
    <row r="140" spans="2:17" ht="13.5" hidden="1" thickBot="1" x14ac:dyDescent="0.25">
      <c r="B140" s="186" t="s">
        <v>410</v>
      </c>
      <c r="C140" s="117">
        <v>8</v>
      </c>
      <c r="D140" s="23">
        <f t="shared" si="69"/>
        <v>0</v>
      </c>
      <c r="E140" s="23">
        <f t="shared" si="70"/>
        <v>0</v>
      </c>
      <c r="F140" s="24">
        <f t="shared" si="64"/>
        <v>200</v>
      </c>
      <c r="G140" s="94">
        <f t="shared" si="65"/>
        <v>0</v>
      </c>
      <c r="H140" s="13"/>
      <c r="I140" s="118">
        <v>0</v>
      </c>
      <c r="J140" s="3"/>
      <c r="K140" s="150">
        <f t="shared" si="71"/>
        <v>0</v>
      </c>
      <c r="L140" s="143">
        <v>8</v>
      </c>
      <c r="M140" s="144" t="s">
        <v>27</v>
      </c>
      <c r="O140" s="144"/>
      <c r="P140" s="144"/>
      <c r="Q140" s="144"/>
    </row>
    <row r="141" spans="2:17" ht="13.5" hidden="1" thickBot="1" x14ac:dyDescent="0.25">
      <c r="B141" s="186" t="s">
        <v>411</v>
      </c>
      <c r="C141" s="117">
        <v>10</v>
      </c>
      <c r="D141" s="23">
        <f t="shared" si="69"/>
        <v>0</v>
      </c>
      <c r="E141" s="23">
        <f t="shared" si="70"/>
        <v>0</v>
      </c>
      <c r="F141" s="24">
        <f t="shared" si="64"/>
        <v>200</v>
      </c>
      <c r="G141" s="94">
        <f t="shared" si="65"/>
        <v>0</v>
      </c>
      <c r="H141" s="13"/>
      <c r="I141" s="118">
        <v>0</v>
      </c>
      <c r="J141" s="3"/>
      <c r="K141" s="150">
        <f t="shared" si="71"/>
        <v>0</v>
      </c>
      <c r="L141" s="143">
        <v>10</v>
      </c>
      <c r="M141" s="144" t="s">
        <v>27</v>
      </c>
      <c r="O141" s="144"/>
      <c r="P141" s="144"/>
      <c r="Q141" s="144"/>
    </row>
    <row r="142" spans="2:17" ht="13.5" hidden="1" thickBot="1" x14ac:dyDescent="0.25">
      <c r="B142" s="186" t="s">
        <v>412</v>
      </c>
      <c r="C142" s="117">
        <v>12</v>
      </c>
      <c r="D142" s="23">
        <f t="shared" si="69"/>
        <v>0</v>
      </c>
      <c r="E142" s="23">
        <f t="shared" si="70"/>
        <v>0</v>
      </c>
      <c r="F142" s="24">
        <f t="shared" si="64"/>
        <v>200</v>
      </c>
      <c r="G142" s="94">
        <f t="shared" si="65"/>
        <v>0</v>
      </c>
      <c r="H142" s="13"/>
      <c r="I142" s="118">
        <v>0</v>
      </c>
      <c r="J142" s="3"/>
      <c r="K142" s="150">
        <f t="shared" si="71"/>
        <v>0</v>
      </c>
      <c r="L142" s="143">
        <v>12</v>
      </c>
      <c r="M142" s="144" t="s">
        <v>27</v>
      </c>
      <c r="O142" s="144"/>
      <c r="P142" s="144"/>
      <c r="Q142" s="144"/>
    </row>
    <row r="143" spans="2:17" ht="13.5" hidden="1" thickBot="1" x14ac:dyDescent="0.25">
      <c r="B143" s="187" t="s">
        <v>413</v>
      </c>
      <c r="C143" s="124">
        <v>14</v>
      </c>
      <c r="D143" s="125">
        <f t="shared" si="69"/>
        <v>0</v>
      </c>
      <c r="E143" s="125">
        <f t="shared" si="70"/>
        <v>0</v>
      </c>
      <c r="F143" s="113">
        <f t="shared" si="64"/>
        <v>200</v>
      </c>
      <c r="G143" s="126">
        <f t="shared" si="65"/>
        <v>0</v>
      </c>
      <c r="H143" s="127"/>
      <c r="I143" s="118">
        <v>0</v>
      </c>
      <c r="J143" s="3"/>
      <c r="K143" s="150">
        <f t="shared" si="71"/>
        <v>0</v>
      </c>
      <c r="L143" s="143">
        <v>14</v>
      </c>
      <c r="M143" s="144" t="s">
        <v>27</v>
      </c>
      <c r="O143" s="144"/>
      <c r="P143" s="144"/>
      <c r="Q143" s="144"/>
    </row>
    <row r="144" spans="2:17" ht="13.5" hidden="1" thickBot="1" x14ac:dyDescent="0.25">
      <c r="B144" s="182" t="s">
        <v>158</v>
      </c>
      <c r="C144" s="119">
        <v>4</v>
      </c>
      <c r="D144" s="132">
        <f>+((I144/100*C144)/2)*1.5/0.5/0.9</f>
        <v>0</v>
      </c>
      <c r="E144" s="120">
        <f>D144*2</f>
        <v>0</v>
      </c>
      <c r="F144" s="121">
        <f t="shared" ref="F144:F157" si="72">+$G$2*2</f>
        <v>200</v>
      </c>
      <c r="G144" s="122">
        <f t="shared" ref="G144:G150" si="73">ROUNDUP(F144,0)*D144</f>
        <v>0</v>
      </c>
      <c r="H144" s="123"/>
      <c r="I144" s="118">
        <v>0</v>
      </c>
      <c r="J144" s="3"/>
      <c r="K144" s="150">
        <f>+(I144/100)/2*C144</f>
        <v>0</v>
      </c>
      <c r="L144" s="143">
        <v>4</v>
      </c>
      <c r="M144" s="144" t="s">
        <v>27</v>
      </c>
      <c r="O144" s="144" t="s">
        <v>28</v>
      </c>
      <c r="P144" s="144" t="s">
        <v>29</v>
      </c>
      <c r="Q144" s="144"/>
    </row>
    <row r="145" spans="2:17" ht="13.5" hidden="1" thickBot="1" x14ac:dyDescent="0.25">
      <c r="B145" s="183" t="s">
        <v>159</v>
      </c>
      <c r="C145" s="116">
        <v>5</v>
      </c>
      <c r="D145" s="23">
        <f t="shared" ref="D145:D150" si="74">+((I145/100*C145)/2)*1.5/0.5/0.9</f>
        <v>0</v>
      </c>
      <c r="E145" s="23">
        <f t="shared" ref="E145:E150" si="75">D145*2</f>
        <v>0</v>
      </c>
      <c r="F145" s="24">
        <f t="shared" si="72"/>
        <v>200</v>
      </c>
      <c r="G145" s="94">
        <f t="shared" si="73"/>
        <v>0</v>
      </c>
      <c r="H145" s="13"/>
      <c r="I145" s="118">
        <v>0</v>
      </c>
      <c r="J145" s="3"/>
      <c r="K145" s="150">
        <f t="shared" ref="K145:K150" si="76">+(I145/100)/2*C145</f>
        <v>0</v>
      </c>
      <c r="L145" s="143">
        <v>5</v>
      </c>
      <c r="M145" s="144" t="s">
        <v>27</v>
      </c>
      <c r="O145" s="144"/>
      <c r="P145" s="144"/>
      <c r="Q145" s="144"/>
    </row>
    <row r="146" spans="2:17" ht="13.5" hidden="1" thickBot="1" x14ac:dyDescent="0.25">
      <c r="B146" s="183" t="s">
        <v>160</v>
      </c>
      <c r="C146" s="117">
        <v>6</v>
      </c>
      <c r="D146" s="23">
        <f t="shared" si="74"/>
        <v>0</v>
      </c>
      <c r="E146" s="23">
        <f t="shared" si="75"/>
        <v>0</v>
      </c>
      <c r="F146" s="24">
        <f t="shared" si="72"/>
        <v>200</v>
      </c>
      <c r="G146" s="94">
        <f t="shared" si="73"/>
        <v>0</v>
      </c>
      <c r="H146" s="13"/>
      <c r="I146" s="118">
        <v>0</v>
      </c>
      <c r="J146" s="3"/>
      <c r="K146" s="150">
        <f t="shared" si="76"/>
        <v>0</v>
      </c>
      <c r="L146" s="143">
        <v>6</v>
      </c>
      <c r="M146" s="144" t="s">
        <v>27</v>
      </c>
      <c r="O146" s="144"/>
      <c r="P146" s="144"/>
      <c r="Q146" s="144"/>
    </row>
    <row r="147" spans="2:17" ht="13.5" hidden="1" thickBot="1" x14ac:dyDescent="0.25">
      <c r="B147" s="183" t="s">
        <v>161</v>
      </c>
      <c r="C147" s="117">
        <v>8</v>
      </c>
      <c r="D147" s="23">
        <f t="shared" si="74"/>
        <v>0</v>
      </c>
      <c r="E147" s="23">
        <f t="shared" si="75"/>
        <v>0</v>
      </c>
      <c r="F147" s="24">
        <f t="shared" si="72"/>
        <v>200</v>
      </c>
      <c r="G147" s="94">
        <f t="shared" si="73"/>
        <v>0</v>
      </c>
      <c r="H147" s="13"/>
      <c r="I147" s="118">
        <v>0</v>
      </c>
      <c r="J147" s="3"/>
      <c r="K147" s="150">
        <f t="shared" si="76"/>
        <v>0</v>
      </c>
      <c r="L147" s="143">
        <v>8</v>
      </c>
      <c r="M147" s="144" t="s">
        <v>27</v>
      </c>
      <c r="O147" s="144"/>
      <c r="P147" s="144"/>
      <c r="Q147" s="144"/>
    </row>
    <row r="148" spans="2:17" ht="13.5" hidden="1" thickBot="1" x14ac:dyDescent="0.25">
      <c r="B148" s="183" t="s">
        <v>162</v>
      </c>
      <c r="C148" s="117">
        <v>10</v>
      </c>
      <c r="D148" s="23">
        <f t="shared" si="74"/>
        <v>0</v>
      </c>
      <c r="E148" s="23">
        <f t="shared" si="75"/>
        <v>0</v>
      </c>
      <c r="F148" s="24">
        <f t="shared" si="72"/>
        <v>200</v>
      </c>
      <c r="G148" s="94">
        <f t="shared" si="73"/>
        <v>0</v>
      </c>
      <c r="H148" s="13"/>
      <c r="I148" s="118">
        <v>0</v>
      </c>
      <c r="J148" s="3"/>
      <c r="K148" s="150">
        <f t="shared" si="76"/>
        <v>0</v>
      </c>
      <c r="L148" s="143">
        <v>10</v>
      </c>
      <c r="M148" s="144" t="s">
        <v>27</v>
      </c>
      <c r="O148" s="144"/>
      <c r="P148" s="144"/>
      <c r="Q148" s="144"/>
    </row>
    <row r="149" spans="2:17" ht="13.5" hidden="1" thickBot="1" x14ac:dyDescent="0.25">
      <c r="B149" s="183" t="s">
        <v>163</v>
      </c>
      <c r="C149" s="117">
        <v>12</v>
      </c>
      <c r="D149" s="23">
        <f t="shared" si="74"/>
        <v>0</v>
      </c>
      <c r="E149" s="23">
        <f t="shared" si="75"/>
        <v>0</v>
      </c>
      <c r="F149" s="24">
        <f t="shared" si="72"/>
        <v>200</v>
      </c>
      <c r="G149" s="94">
        <f t="shared" si="73"/>
        <v>0</v>
      </c>
      <c r="H149" s="13"/>
      <c r="I149" s="118">
        <v>0</v>
      </c>
      <c r="J149" s="3"/>
      <c r="K149" s="150">
        <f t="shared" si="76"/>
        <v>0</v>
      </c>
      <c r="L149" s="143">
        <v>12</v>
      </c>
      <c r="M149" s="144" t="s">
        <v>27</v>
      </c>
      <c r="O149" s="144"/>
      <c r="P149" s="144"/>
      <c r="Q149" s="144"/>
    </row>
    <row r="150" spans="2:17" ht="13.5" hidden="1" thickBot="1" x14ac:dyDescent="0.25">
      <c r="B150" s="184" t="s">
        <v>164</v>
      </c>
      <c r="C150" s="124">
        <v>14</v>
      </c>
      <c r="D150" s="125">
        <f t="shared" si="74"/>
        <v>0</v>
      </c>
      <c r="E150" s="125">
        <f t="shared" si="75"/>
        <v>0</v>
      </c>
      <c r="F150" s="113">
        <f t="shared" si="72"/>
        <v>200</v>
      </c>
      <c r="G150" s="126">
        <f t="shared" si="73"/>
        <v>0</v>
      </c>
      <c r="H150" s="127"/>
      <c r="I150" s="118">
        <v>0</v>
      </c>
      <c r="J150" s="3"/>
      <c r="K150" s="150">
        <f t="shared" si="76"/>
        <v>0</v>
      </c>
      <c r="L150" s="143">
        <v>14</v>
      </c>
      <c r="M150" s="144" t="s">
        <v>27</v>
      </c>
      <c r="O150" s="144"/>
      <c r="P150" s="144"/>
      <c r="Q150" s="144"/>
    </row>
    <row r="151" spans="2:17" ht="13.5" hidden="1" thickBot="1" x14ac:dyDescent="0.25">
      <c r="B151" s="188" t="s">
        <v>147</v>
      </c>
      <c r="C151" s="119">
        <v>4</v>
      </c>
      <c r="D151" s="132">
        <f>+((I151/100*C151)/2)*1.5/0.5/0.9</f>
        <v>3.4666666666666668</v>
      </c>
      <c r="E151" s="120">
        <f>D151*2</f>
        <v>6.9333333333333336</v>
      </c>
      <c r="F151" s="121">
        <f t="shared" si="72"/>
        <v>200</v>
      </c>
      <c r="G151" s="122">
        <f t="shared" ref="G151:G157" si="77">ROUNDUP(F151,0)*D151</f>
        <v>693.33333333333337</v>
      </c>
      <c r="H151" s="123"/>
      <c r="I151" s="118">
        <v>52</v>
      </c>
      <c r="J151" s="3"/>
      <c r="K151" s="150">
        <f>+(I151/100)/2*C151</f>
        <v>1.04</v>
      </c>
      <c r="L151" s="143">
        <v>4</v>
      </c>
      <c r="M151" s="144" t="s">
        <v>27</v>
      </c>
      <c r="O151" s="144" t="s">
        <v>28</v>
      </c>
      <c r="P151" s="144" t="s">
        <v>29</v>
      </c>
      <c r="Q151" s="144"/>
    </row>
    <row r="152" spans="2:17" ht="13.5" hidden="1" thickBot="1" x14ac:dyDescent="0.25">
      <c r="B152" s="189" t="s">
        <v>148</v>
      </c>
      <c r="C152" s="116">
        <v>5</v>
      </c>
      <c r="D152" s="23">
        <f t="shared" ref="D152:D166" si="78">+((I152/100*C152)/2)*1.5/0.5/0.9</f>
        <v>4.3333333333333339</v>
      </c>
      <c r="E152" s="23">
        <f t="shared" ref="E152:E157" si="79">D152*2</f>
        <v>8.6666666666666679</v>
      </c>
      <c r="F152" s="24">
        <f t="shared" si="72"/>
        <v>200</v>
      </c>
      <c r="G152" s="94">
        <f t="shared" si="77"/>
        <v>866.66666666666674</v>
      </c>
      <c r="H152" s="13"/>
      <c r="I152" s="118">
        <v>52</v>
      </c>
      <c r="J152" s="3"/>
      <c r="K152" s="150">
        <f t="shared" ref="K152:K157" si="80">+(I152/100)/2*C152</f>
        <v>1.3</v>
      </c>
      <c r="L152" s="143">
        <v>5</v>
      </c>
      <c r="M152" s="144" t="s">
        <v>27</v>
      </c>
      <c r="O152" s="144"/>
      <c r="P152" s="144"/>
      <c r="Q152" s="144"/>
    </row>
    <row r="153" spans="2:17" ht="13.5" hidden="1" thickBot="1" x14ac:dyDescent="0.25">
      <c r="B153" s="189" t="s">
        <v>149</v>
      </c>
      <c r="C153" s="117">
        <v>6</v>
      </c>
      <c r="D153" s="23">
        <f t="shared" si="78"/>
        <v>5.1999999999999993</v>
      </c>
      <c r="E153" s="23">
        <f t="shared" si="79"/>
        <v>10.399999999999999</v>
      </c>
      <c r="F153" s="24">
        <f t="shared" si="72"/>
        <v>200</v>
      </c>
      <c r="G153" s="94">
        <f t="shared" si="77"/>
        <v>1039.9999999999998</v>
      </c>
      <c r="H153" s="13"/>
      <c r="I153" s="118">
        <v>52</v>
      </c>
      <c r="J153" s="3"/>
      <c r="K153" s="150">
        <f t="shared" si="80"/>
        <v>1.56</v>
      </c>
      <c r="L153" s="143">
        <v>6</v>
      </c>
      <c r="M153" s="144" t="s">
        <v>27</v>
      </c>
      <c r="O153" s="144"/>
      <c r="P153" s="144"/>
      <c r="Q153" s="144"/>
    </row>
    <row r="154" spans="2:17" ht="13.5" hidden="1" thickBot="1" x14ac:dyDescent="0.25">
      <c r="B154" s="189" t="s">
        <v>150</v>
      </c>
      <c r="C154" s="117">
        <v>8</v>
      </c>
      <c r="D154" s="23">
        <f t="shared" si="78"/>
        <v>6.9333333333333336</v>
      </c>
      <c r="E154" s="23">
        <f t="shared" si="79"/>
        <v>13.866666666666667</v>
      </c>
      <c r="F154" s="24">
        <f t="shared" si="72"/>
        <v>200</v>
      </c>
      <c r="G154" s="94">
        <f t="shared" si="77"/>
        <v>1386.6666666666667</v>
      </c>
      <c r="H154" s="13"/>
      <c r="I154" s="118">
        <v>52</v>
      </c>
      <c r="J154" s="3"/>
      <c r="K154" s="150">
        <f t="shared" si="80"/>
        <v>2.08</v>
      </c>
      <c r="L154" s="143">
        <v>8</v>
      </c>
      <c r="M154" s="144" t="s">
        <v>27</v>
      </c>
      <c r="O154" s="144"/>
      <c r="P154" s="144"/>
      <c r="Q154" s="144"/>
    </row>
    <row r="155" spans="2:17" ht="13.5" hidden="1" thickBot="1" x14ac:dyDescent="0.25">
      <c r="B155" s="189" t="s">
        <v>151</v>
      </c>
      <c r="C155" s="117">
        <v>10</v>
      </c>
      <c r="D155" s="23">
        <f t="shared" si="78"/>
        <v>8.6666666666666679</v>
      </c>
      <c r="E155" s="23">
        <f t="shared" si="79"/>
        <v>17.333333333333336</v>
      </c>
      <c r="F155" s="24">
        <f t="shared" si="72"/>
        <v>200</v>
      </c>
      <c r="G155" s="94">
        <f t="shared" si="77"/>
        <v>1733.3333333333335</v>
      </c>
      <c r="H155" s="13"/>
      <c r="I155" s="118">
        <v>52</v>
      </c>
      <c r="J155" s="3"/>
      <c r="K155" s="150">
        <f t="shared" si="80"/>
        <v>2.6</v>
      </c>
      <c r="L155" s="143">
        <v>10</v>
      </c>
      <c r="M155" s="144" t="s">
        <v>27</v>
      </c>
      <c r="O155" s="144"/>
      <c r="P155" s="144"/>
      <c r="Q155" s="144"/>
    </row>
    <row r="156" spans="2:17" ht="13.5" hidden="1" thickBot="1" x14ac:dyDescent="0.25">
      <c r="B156" s="189" t="s">
        <v>152</v>
      </c>
      <c r="C156" s="117">
        <v>12</v>
      </c>
      <c r="D156" s="23">
        <f t="shared" si="78"/>
        <v>10.399999999999999</v>
      </c>
      <c r="E156" s="23">
        <f t="shared" si="79"/>
        <v>20.799999999999997</v>
      </c>
      <c r="F156" s="24">
        <f t="shared" si="72"/>
        <v>200</v>
      </c>
      <c r="G156" s="94">
        <f t="shared" si="77"/>
        <v>2079.9999999999995</v>
      </c>
      <c r="H156" s="13"/>
      <c r="I156" s="118">
        <v>52</v>
      </c>
      <c r="J156" s="3"/>
      <c r="K156" s="150">
        <f t="shared" si="80"/>
        <v>3.12</v>
      </c>
      <c r="L156" s="143">
        <v>12</v>
      </c>
      <c r="M156" s="144" t="s">
        <v>27</v>
      </c>
      <c r="O156" s="144"/>
      <c r="P156" s="144"/>
      <c r="Q156" s="144"/>
    </row>
    <row r="157" spans="2:17" ht="13.5" hidden="1" thickBot="1" x14ac:dyDescent="0.25">
      <c r="B157" s="190" t="s">
        <v>166</v>
      </c>
      <c r="C157" s="124">
        <v>14</v>
      </c>
      <c r="D157" s="125">
        <f t="shared" si="78"/>
        <v>12.133333333333333</v>
      </c>
      <c r="E157" s="125">
        <f t="shared" si="79"/>
        <v>24.266666666666666</v>
      </c>
      <c r="F157" s="113">
        <f t="shared" si="72"/>
        <v>200</v>
      </c>
      <c r="G157" s="126">
        <f t="shared" si="77"/>
        <v>2426.6666666666665</v>
      </c>
      <c r="H157" s="127"/>
      <c r="I157" s="118">
        <v>52</v>
      </c>
      <c r="J157" s="3"/>
      <c r="K157" s="150">
        <f t="shared" si="80"/>
        <v>3.64</v>
      </c>
      <c r="L157" s="143">
        <v>14</v>
      </c>
      <c r="M157" s="144" t="s">
        <v>27</v>
      </c>
      <c r="O157" s="144"/>
      <c r="P157" s="144"/>
      <c r="Q157" s="144"/>
    </row>
    <row r="158" spans="2:17" ht="13.5" hidden="1" thickBot="1" x14ac:dyDescent="0.25">
      <c r="B158" s="98"/>
      <c r="C158" s="18"/>
      <c r="D158"/>
      <c r="E158" s="30"/>
      <c r="F158" s="31"/>
      <c r="G158" s="99"/>
      <c r="H158" s="13"/>
      <c r="I158" s="118" t="s">
        <v>105</v>
      </c>
      <c r="J158" s="3"/>
      <c r="K158" s="150"/>
      <c r="L158" s="144"/>
      <c r="M158" s="144"/>
      <c r="O158" s="144"/>
      <c r="P158" s="144"/>
      <c r="Q158" s="144"/>
    </row>
    <row r="159" spans="2:17" ht="13.5" hidden="1" thickBot="1" x14ac:dyDescent="0.25">
      <c r="B159" s="136" t="s">
        <v>39</v>
      </c>
      <c r="C159" s="134">
        <v>4</v>
      </c>
      <c r="D159" s="149">
        <f t="shared" si="78"/>
        <v>6.8666666666666663</v>
      </c>
      <c r="E159" s="120">
        <f>D159*2</f>
        <v>13.733333333333333</v>
      </c>
      <c r="F159" s="121"/>
      <c r="G159" s="122">
        <f t="shared" ref="G159:G166" si="81">ROUNDUP(F159,0)*D159</f>
        <v>0</v>
      </c>
      <c r="H159" s="123"/>
      <c r="I159" s="118">
        <v>103</v>
      </c>
      <c r="J159" s="3"/>
      <c r="K159" s="150">
        <f>+(I159/100)/2*C159</f>
        <v>2.06</v>
      </c>
      <c r="L159" s="143">
        <v>4</v>
      </c>
      <c r="M159" s="144" t="s">
        <v>40</v>
      </c>
      <c r="O159" s="144"/>
      <c r="P159" s="144"/>
      <c r="Q159" s="144"/>
    </row>
    <row r="160" spans="2:17" ht="13.5" hidden="1" thickBot="1" x14ac:dyDescent="0.25">
      <c r="B160" s="137" t="s">
        <v>41</v>
      </c>
      <c r="C160" s="18">
        <v>5</v>
      </c>
      <c r="D160" s="148">
        <f t="shared" si="78"/>
        <v>8.5833333333333339</v>
      </c>
      <c r="E160" s="23">
        <f t="shared" ref="E160:E166" si="82">D160*2</f>
        <v>17.166666666666668</v>
      </c>
      <c r="F160" s="24"/>
      <c r="G160" s="94">
        <f t="shared" si="81"/>
        <v>0</v>
      </c>
      <c r="H160" s="13"/>
      <c r="I160" s="118">
        <v>103</v>
      </c>
      <c r="J160" s="3"/>
      <c r="K160" s="150">
        <f t="shared" ref="K160:K166" si="83">+(I160/100)/2*C160</f>
        <v>2.5750000000000002</v>
      </c>
      <c r="L160" s="143">
        <v>5</v>
      </c>
      <c r="M160" s="144"/>
      <c r="O160" s="144"/>
      <c r="P160" s="144"/>
      <c r="Q160" s="144"/>
    </row>
    <row r="161" spans="1:18" ht="13.5" hidden="1" thickBot="1" x14ac:dyDescent="0.25">
      <c r="B161" s="137" t="s">
        <v>42</v>
      </c>
      <c r="C161" s="18">
        <v>6</v>
      </c>
      <c r="D161" s="148">
        <f t="shared" si="78"/>
        <v>10.299999999999999</v>
      </c>
      <c r="E161" s="145">
        <f t="shared" si="82"/>
        <v>20.599999999999998</v>
      </c>
      <c r="F161" s="31"/>
      <c r="G161" s="84">
        <f t="shared" si="81"/>
        <v>0</v>
      </c>
      <c r="H161" s="13"/>
      <c r="I161" s="118">
        <v>103</v>
      </c>
      <c r="J161" s="3"/>
      <c r="K161" s="150">
        <f t="shared" si="83"/>
        <v>3.09</v>
      </c>
      <c r="L161" s="143">
        <v>6</v>
      </c>
      <c r="M161" s="144"/>
      <c r="O161" s="144"/>
      <c r="P161" s="144"/>
      <c r="Q161" s="144"/>
    </row>
    <row r="162" spans="1:18" ht="13.5" hidden="1" thickBot="1" x14ac:dyDescent="0.25">
      <c r="B162" s="137" t="s">
        <v>43</v>
      </c>
      <c r="C162" s="18">
        <v>8</v>
      </c>
      <c r="D162" s="148">
        <f t="shared" si="78"/>
        <v>13.733333333333333</v>
      </c>
      <c r="E162" s="30">
        <f t="shared" si="82"/>
        <v>27.466666666666665</v>
      </c>
      <c r="F162" s="31"/>
      <c r="G162" s="99">
        <f t="shared" si="81"/>
        <v>0</v>
      </c>
      <c r="H162" s="13"/>
      <c r="I162" s="118">
        <v>103</v>
      </c>
      <c r="J162" s="3"/>
      <c r="K162" s="150">
        <f t="shared" si="83"/>
        <v>4.12</v>
      </c>
      <c r="L162" s="143">
        <v>8</v>
      </c>
      <c r="M162" s="144"/>
      <c r="O162" s="144"/>
      <c r="P162" s="144"/>
      <c r="Q162" s="144"/>
    </row>
    <row r="163" spans="1:18" ht="13.5" hidden="1" thickBot="1" x14ac:dyDescent="0.25">
      <c r="B163" s="137" t="s">
        <v>20</v>
      </c>
      <c r="C163" s="18">
        <v>10</v>
      </c>
      <c r="D163" s="148">
        <f t="shared" si="78"/>
        <v>17.166666666666668</v>
      </c>
      <c r="E163" s="30">
        <f t="shared" si="82"/>
        <v>34.333333333333336</v>
      </c>
      <c r="F163" s="31"/>
      <c r="G163" s="99">
        <f t="shared" si="81"/>
        <v>0</v>
      </c>
      <c r="H163" s="13"/>
      <c r="I163" s="118">
        <v>103</v>
      </c>
      <c r="J163" s="3"/>
      <c r="K163" s="150">
        <f t="shared" si="83"/>
        <v>5.15</v>
      </c>
      <c r="L163" s="143">
        <v>10</v>
      </c>
      <c r="M163" s="144"/>
      <c r="O163" s="144"/>
      <c r="P163" s="144"/>
      <c r="Q163" s="144"/>
    </row>
    <row r="164" spans="1:18" ht="13.5" hidden="1" thickBot="1" x14ac:dyDescent="0.25">
      <c r="B164" s="137" t="s">
        <v>44</v>
      </c>
      <c r="C164" s="18">
        <v>12</v>
      </c>
      <c r="D164" s="148">
        <f t="shared" si="78"/>
        <v>20.599999999999998</v>
      </c>
      <c r="E164" s="30">
        <f t="shared" si="82"/>
        <v>41.199999999999996</v>
      </c>
      <c r="F164" s="31"/>
      <c r="G164" s="99">
        <f t="shared" si="81"/>
        <v>0</v>
      </c>
      <c r="H164" s="13"/>
      <c r="I164" s="118">
        <v>103</v>
      </c>
      <c r="J164" s="3"/>
      <c r="K164" s="150">
        <f t="shared" si="83"/>
        <v>6.18</v>
      </c>
      <c r="L164" s="143">
        <v>12</v>
      </c>
      <c r="M164" s="144"/>
      <c r="O164" s="144"/>
      <c r="P164" s="144"/>
      <c r="Q164" s="144"/>
    </row>
    <row r="165" spans="1:18" ht="13.5" hidden="1" thickBot="1" x14ac:dyDescent="0.25">
      <c r="B165" s="137" t="s">
        <v>45</v>
      </c>
      <c r="C165" s="18">
        <v>14</v>
      </c>
      <c r="D165" s="148">
        <f t="shared" si="78"/>
        <v>24.033333333333331</v>
      </c>
      <c r="E165" s="30">
        <f t="shared" si="82"/>
        <v>48.066666666666663</v>
      </c>
      <c r="F165" s="31"/>
      <c r="G165" s="99">
        <f t="shared" si="81"/>
        <v>0</v>
      </c>
      <c r="H165" s="13"/>
      <c r="I165" s="118">
        <v>103</v>
      </c>
      <c r="J165" s="3"/>
      <c r="K165" s="150">
        <f t="shared" si="83"/>
        <v>7.21</v>
      </c>
      <c r="L165" s="143">
        <v>14</v>
      </c>
      <c r="M165" s="144"/>
      <c r="O165" s="144"/>
      <c r="P165" s="144"/>
      <c r="Q165" s="144"/>
    </row>
    <row r="166" spans="1:18" ht="13.5" hidden="1" thickBot="1" x14ac:dyDescent="0.25">
      <c r="B166" s="138" t="s">
        <v>46</v>
      </c>
      <c r="C166" s="135">
        <v>16</v>
      </c>
      <c r="D166" s="147">
        <f t="shared" si="78"/>
        <v>27.466666666666665</v>
      </c>
      <c r="E166" s="146">
        <f t="shared" si="82"/>
        <v>54.93333333333333</v>
      </c>
      <c r="F166" s="113"/>
      <c r="G166" s="114">
        <f t="shared" si="81"/>
        <v>0</v>
      </c>
      <c r="H166" s="127"/>
      <c r="I166" s="118">
        <v>103</v>
      </c>
      <c r="J166" s="3"/>
      <c r="K166" s="150">
        <f t="shared" si="83"/>
        <v>8.24</v>
      </c>
      <c r="L166" s="143">
        <v>16</v>
      </c>
      <c r="M166" s="144"/>
      <c r="O166" s="144"/>
      <c r="P166" s="144"/>
      <c r="Q166" s="144"/>
    </row>
    <row r="167" spans="1:18" ht="13.5" hidden="1" thickBot="1" x14ac:dyDescent="0.25">
      <c r="B167" s="100"/>
      <c r="C167" s="15"/>
      <c r="G167" s="101"/>
    </row>
    <row r="168" spans="1:18" hidden="1" x14ac:dyDescent="0.2">
      <c r="A168" s="219" t="s">
        <v>167</v>
      </c>
      <c r="B168" s="224" t="s">
        <v>297</v>
      </c>
      <c r="C168" s="134" t="s">
        <v>47</v>
      </c>
      <c r="D168" s="225">
        <f>+I168</f>
        <v>0.182</v>
      </c>
      <c r="E168" s="120">
        <f t="shared" ref="E168:E231" si="84">D168*6</f>
        <v>1.0920000000000001</v>
      </c>
      <c r="F168" s="121">
        <f t="shared" ref="F168:F250" si="85">+$G$2*6</f>
        <v>600</v>
      </c>
      <c r="G168" s="122">
        <f t="shared" ref="G168:G231" si="86">ROUNDUP(F168,0)*D168</f>
        <v>109.2</v>
      </c>
      <c r="H168" s="13"/>
      <c r="I168" s="215">
        <v>0.182</v>
      </c>
      <c r="J168" s="3"/>
      <c r="K168" s="215">
        <v>4.7040000000000005E-2</v>
      </c>
    </row>
    <row r="169" spans="1:18" hidden="1" x14ac:dyDescent="0.2">
      <c r="A169" s="219" t="s">
        <v>168</v>
      </c>
      <c r="B169" s="226" t="s">
        <v>298</v>
      </c>
      <c r="C169" s="18" t="s">
        <v>48</v>
      </c>
      <c r="D169" s="215">
        <f t="shared" ref="D169:D232" si="87">+I169</f>
        <v>0.21</v>
      </c>
      <c r="E169" s="21">
        <f t="shared" si="84"/>
        <v>1.26</v>
      </c>
      <c r="F169" s="22">
        <f t="shared" si="85"/>
        <v>600</v>
      </c>
      <c r="G169" s="94">
        <f t="shared" si="86"/>
        <v>126</v>
      </c>
      <c r="H169" s="13"/>
      <c r="I169" s="215">
        <v>0.21</v>
      </c>
      <c r="J169" s="3"/>
      <c r="K169" s="215">
        <v>5.4180000000000013E-2</v>
      </c>
    </row>
    <row r="170" spans="1:18" hidden="1" x14ac:dyDescent="0.2">
      <c r="A170" s="219" t="s">
        <v>169</v>
      </c>
      <c r="B170" s="226" t="s">
        <v>299</v>
      </c>
      <c r="C170" s="18" t="s">
        <v>49</v>
      </c>
      <c r="D170" s="215">
        <f t="shared" si="87"/>
        <v>0.23200000000000001</v>
      </c>
      <c r="E170" s="21">
        <f t="shared" si="84"/>
        <v>1.3920000000000001</v>
      </c>
      <c r="F170" s="22">
        <f t="shared" si="85"/>
        <v>600</v>
      </c>
      <c r="G170" s="94">
        <f t="shared" si="86"/>
        <v>139.20000000000002</v>
      </c>
      <c r="H170" s="13"/>
      <c r="I170" s="215">
        <v>0.23200000000000001</v>
      </c>
      <c r="J170" s="3"/>
      <c r="K170" s="215">
        <v>5.9780000000000007E-2</v>
      </c>
    </row>
    <row r="171" spans="1:18" hidden="1" x14ac:dyDescent="0.2">
      <c r="A171" s="219" t="s">
        <v>170</v>
      </c>
      <c r="B171" s="226" t="s">
        <v>300</v>
      </c>
      <c r="C171" s="18" t="s">
        <v>50</v>
      </c>
      <c r="D171" s="215">
        <f t="shared" si="87"/>
        <v>0.252</v>
      </c>
      <c r="E171" s="21">
        <f t="shared" si="84"/>
        <v>1.512</v>
      </c>
      <c r="F171" s="22">
        <f t="shared" si="85"/>
        <v>600</v>
      </c>
      <c r="G171" s="94">
        <f t="shared" si="86"/>
        <v>151.19999999999999</v>
      </c>
      <c r="H171" s="13"/>
      <c r="I171" s="215">
        <v>0.252</v>
      </c>
      <c r="J171" s="3"/>
      <c r="K171" s="215">
        <v>6.5100000000000005E-2</v>
      </c>
    </row>
    <row r="172" spans="1:18" hidden="1" x14ac:dyDescent="0.2">
      <c r="A172" s="219" t="s">
        <v>171</v>
      </c>
      <c r="B172" s="226" t="s">
        <v>301</v>
      </c>
      <c r="C172" s="18" t="s">
        <v>51</v>
      </c>
      <c r="D172" s="215">
        <f t="shared" si="87"/>
        <v>0.27200000000000002</v>
      </c>
      <c r="E172" s="21">
        <f t="shared" si="84"/>
        <v>1.6320000000000001</v>
      </c>
      <c r="F172" s="22">
        <f t="shared" si="85"/>
        <v>600</v>
      </c>
      <c r="G172" s="94">
        <f t="shared" si="86"/>
        <v>163.20000000000002</v>
      </c>
      <c r="H172" s="13"/>
      <c r="I172" s="215">
        <v>0.27200000000000002</v>
      </c>
      <c r="J172" s="3"/>
      <c r="K172" s="215">
        <v>7.0280000000000009E-2</v>
      </c>
    </row>
    <row r="173" spans="1:18" ht="15" hidden="1" x14ac:dyDescent="0.2">
      <c r="A173" s="219" t="s">
        <v>172</v>
      </c>
      <c r="B173" s="227" t="s">
        <v>302</v>
      </c>
      <c r="C173" s="27" t="s">
        <v>52</v>
      </c>
      <c r="D173" s="218">
        <f t="shared" si="87"/>
        <v>0.29499999999999998</v>
      </c>
      <c r="E173" s="35">
        <f t="shared" si="84"/>
        <v>1.77</v>
      </c>
      <c r="F173" s="36">
        <f t="shared" si="85"/>
        <v>600</v>
      </c>
      <c r="G173" s="87">
        <f t="shared" si="86"/>
        <v>177</v>
      </c>
      <c r="H173" s="13"/>
      <c r="I173" s="215">
        <v>0.29499999999999998</v>
      </c>
      <c r="J173" s="3"/>
      <c r="K173" s="215">
        <v>7.6160000000000005E-2</v>
      </c>
      <c r="M173" s="245"/>
      <c r="N173" s="245"/>
      <c r="O173" s="15"/>
      <c r="P173" s="15"/>
      <c r="Q173" s="15"/>
      <c r="R173" s="15"/>
    </row>
    <row r="174" spans="1:18" ht="15" hidden="1" x14ac:dyDescent="0.2">
      <c r="A174" s="219" t="s">
        <v>173</v>
      </c>
      <c r="B174" s="228" t="s">
        <v>303</v>
      </c>
      <c r="C174" s="25" t="s">
        <v>47</v>
      </c>
      <c r="D174" s="217">
        <f t="shared" si="87"/>
        <v>0.316</v>
      </c>
      <c r="E174" s="32">
        <f t="shared" si="84"/>
        <v>1.8959999999999999</v>
      </c>
      <c r="F174" s="33">
        <f t="shared" si="85"/>
        <v>600</v>
      </c>
      <c r="G174" s="88">
        <f t="shared" si="86"/>
        <v>189.6</v>
      </c>
      <c r="H174" s="13"/>
      <c r="I174" s="215">
        <v>0.316</v>
      </c>
      <c r="J174" s="3"/>
      <c r="K174" s="215">
        <v>8.1620000000000012E-2</v>
      </c>
      <c r="M174" s="245"/>
      <c r="N174" s="245"/>
      <c r="O174" s="15"/>
      <c r="P174" s="15"/>
      <c r="Q174" s="15"/>
      <c r="R174" s="15"/>
    </row>
    <row r="175" spans="1:18" ht="15" hidden="1" x14ac:dyDescent="0.2">
      <c r="A175" s="219" t="s">
        <v>174</v>
      </c>
      <c r="B175" s="98" t="s">
        <v>304</v>
      </c>
      <c r="C175" s="18" t="s">
        <v>48</v>
      </c>
      <c r="D175" s="215">
        <f t="shared" si="87"/>
        <v>0.36099999999999999</v>
      </c>
      <c r="E175" s="30">
        <f t="shared" si="84"/>
        <v>2.1659999999999999</v>
      </c>
      <c r="F175" s="31">
        <f t="shared" si="85"/>
        <v>600</v>
      </c>
      <c r="G175" s="99">
        <f t="shared" si="86"/>
        <v>216.6</v>
      </c>
      <c r="H175" s="13"/>
      <c r="I175" s="215">
        <v>0.36099999999999999</v>
      </c>
      <c r="J175" s="3"/>
      <c r="K175" s="215">
        <v>9.3100000000000002E-2</v>
      </c>
      <c r="M175" s="245"/>
      <c r="N175" s="245"/>
      <c r="O175" s="15"/>
      <c r="P175" s="15"/>
      <c r="Q175" s="15"/>
      <c r="R175" s="15"/>
    </row>
    <row r="176" spans="1:18" hidden="1" x14ac:dyDescent="0.2">
      <c r="A176" s="219" t="s">
        <v>175</v>
      </c>
      <c r="B176" s="98" t="s">
        <v>305</v>
      </c>
      <c r="C176" s="18" t="s">
        <v>49</v>
      </c>
      <c r="D176" s="215">
        <f t="shared" si="87"/>
        <v>0.42199999999999999</v>
      </c>
      <c r="E176" s="30">
        <f t="shared" si="84"/>
        <v>2.532</v>
      </c>
      <c r="F176" s="31">
        <f t="shared" si="85"/>
        <v>600</v>
      </c>
      <c r="G176" s="99">
        <f t="shared" si="86"/>
        <v>253.2</v>
      </c>
      <c r="H176" s="13"/>
      <c r="I176" s="215">
        <v>0.42199999999999999</v>
      </c>
      <c r="J176" s="3"/>
      <c r="K176" s="215">
        <v>0.10878000000000002</v>
      </c>
      <c r="M176" s="15"/>
      <c r="O176" s="15"/>
      <c r="P176" s="15"/>
      <c r="Q176" s="15"/>
      <c r="R176" s="15"/>
    </row>
    <row r="177" spans="1:18" ht="15" hidden="1" x14ac:dyDescent="0.2">
      <c r="A177" s="219" t="s">
        <v>176</v>
      </c>
      <c r="B177" s="98" t="s">
        <v>306</v>
      </c>
      <c r="C177" s="18" t="s">
        <v>50</v>
      </c>
      <c r="D177" s="215">
        <f t="shared" si="87"/>
        <v>0.47</v>
      </c>
      <c r="E177" s="30">
        <f t="shared" si="84"/>
        <v>2.82</v>
      </c>
      <c r="F177" s="31">
        <f t="shared" si="85"/>
        <v>600</v>
      </c>
      <c r="G177" s="99">
        <f t="shared" si="86"/>
        <v>282</v>
      </c>
      <c r="H177" s="13"/>
      <c r="I177" s="215">
        <v>0.47</v>
      </c>
      <c r="J177" s="3"/>
      <c r="K177" s="215">
        <v>0.12138000000000002</v>
      </c>
      <c r="M177" s="245"/>
      <c r="N177" s="245"/>
      <c r="O177" s="15"/>
      <c r="P177" s="15"/>
      <c r="Q177" s="15"/>
      <c r="R177" s="15"/>
    </row>
    <row r="178" spans="1:18" ht="15" hidden="1" x14ac:dyDescent="0.2">
      <c r="A178" s="219" t="s">
        <v>177</v>
      </c>
      <c r="B178" s="98" t="s">
        <v>307</v>
      </c>
      <c r="C178" s="18" t="s">
        <v>51</v>
      </c>
      <c r="D178" s="215">
        <f t="shared" si="87"/>
        <v>0.51300000000000001</v>
      </c>
      <c r="E178" s="30">
        <f t="shared" si="84"/>
        <v>3.0780000000000003</v>
      </c>
      <c r="F178" s="31">
        <f t="shared" si="85"/>
        <v>600</v>
      </c>
      <c r="G178" s="99">
        <f t="shared" si="86"/>
        <v>307.8</v>
      </c>
      <c r="H178" s="13"/>
      <c r="I178" s="215">
        <v>0.51300000000000001</v>
      </c>
      <c r="J178" s="3"/>
      <c r="K178" s="215">
        <v>0.13244</v>
      </c>
      <c r="M178" s="245"/>
      <c r="N178" s="245"/>
      <c r="O178" s="15"/>
      <c r="P178" s="15"/>
      <c r="Q178" s="15"/>
      <c r="R178" s="15"/>
    </row>
    <row r="179" spans="1:18" ht="15" hidden="1" x14ac:dyDescent="0.2">
      <c r="A179" s="219" t="s">
        <v>178</v>
      </c>
      <c r="B179" s="191" t="s">
        <v>308</v>
      </c>
      <c r="C179" s="27" t="s">
        <v>52</v>
      </c>
      <c r="D179" s="218">
        <f t="shared" si="87"/>
        <v>0.55800000000000005</v>
      </c>
      <c r="E179" s="51">
        <f t="shared" si="84"/>
        <v>3.3480000000000003</v>
      </c>
      <c r="F179" s="29">
        <f t="shared" si="85"/>
        <v>600</v>
      </c>
      <c r="G179" s="108">
        <f t="shared" si="86"/>
        <v>334.8</v>
      </c>
      <c r="H179" s="13"/>
      <c r="I179" s="215">
        <v>0.55800000000000005</v>
      </c>
      <c r="J179" s="3"/>
      <c r="K179" s="215">
        <v>0.14392000000000002</v>
      </c>
      <c r="M179" s="245"/>
      <c r="N179" s="245"/>
      <c r="O179" s="15"/>
      <c r="P179" s="15"/>
      <c r="Q179" s="15"/>
      <c r="R179" s="15"/>
    </row>
    <row r="180" spans="1:18" hidden="1" x14ac:dyDescent="0.2">
      <c r="A180" s="219" t="s">
        <v>179</v>
      </c>
      <c r="B180" s="229" t="s">
        <v>309</v>
      </c>
      <c r="C180" s="18" t="s">
        <v>130</v>
      </c>
      <c r="D180" s="12">
        <f t="shared" si="87"/>
        <v>0.46899999999999997</v>
      </c>
      <c r="E180" s="32">
        <f t="shared" si="84"/>
        <v>2.8140000000000001</v>
      </c>
      <c r="F180" s="33">
        <f t="shared" si="85"/>
        <v>600</v>
      </c>
      <c r="G180" s="88">
        <f t="shared" si="86"/>
        <v>281.39999999999998</v>
      </c>
      <c r="H180" s="13"/>
      <c r="I180" s="215">
        <v>0.46899999999999997</v>
      </c>
      <c r="J180" s="3"/>
      <c r="K180" s="215">
        <v>0.121</v>
      </c>
    </row>
    <row r="181" spans="1:18" hidden="1" x14ac:dyDescent="0.2">
      <c r="A181" s="219" t="s">
        <v>180</v>
      </c>
      <c r="B181" s="230" t="s">
        <v>310</v>
      </c>
      <c r="C181" s="18" t="s">
        <v>47</v>
      </c>
      <c r="D181" s="1">
        <f t="shared" si="87"/>
        <v>0.47299999999999998</v>
      </c>
      <c r="E181" s="30">
        <f t="shared" si="84"/>
        <v>2.8380000000000001</v>
      </c>
      <c r="F181" s="31">
        <f t="shared" si="85"/>
        <v>600</v>
      </c>
      <c r="G181" s="99">
        <f t="shared" si="86"/>
        <v>283.8</v>
      </c>
      <c r="H181" s="13"/>
      <c r="I181" s="215">
        <v>0.47299999999999998</v>
      </c>
      <c r="J181" s="3"/>
      <c r="K181" s="215">
        <v>0.122</v>
      </c>
    </row>
    <row r="182" spans="1:18" hidden="1" x14ac:dyDescent="0.2">
      <c r="A182" s="219" t="s">
        <v>181</v>
      </c>
      <c r="B182" s="230" t="s">
        <v>311</v>
      </c>
      <c r="C182" s="18" t="s">
        <v>48</v>
      </c>
      <c r="D182" s="1">
        <f t="shared" si="87"/>
        <v>0.49199999999999999</v>
      </c>
      <c r="E182" s="30">
        <f t="shared" si="84"/>
        <v>2.952</v>
      </c>
      <c r="F182" s="31">
        <f t="shared" si="85"/>
        <v>600</v>
      </c>
      <c r="G182" s="99">
        <f t="shared" si="86"/>
        <v>295.2</v>
      </c>
      <c r="H182" s="13"/>
      <c r="I182" s="215">
        <v>0.49199999999999999</v>
      </c>
      <c r="J182" s="3"/>
      <c r="K182" s="215">
        <v>0.127</v>
      </c>
    </row>
    <row r="183" spans="1:18" hidden="1" x14ac:dyDescent="0.2">
      <c r="A183" s="219" t="s">
        <v>182</v>
      </c>
      <c r="B183" s="230" t="s">
        <v>312</v>
      </c>
      <c r="C183" s="18" t="s">
        <v>49</v>
      </c>
      <c r="D183" s="1">
        <f t="shared" si="87"/>
        <v>0.53100000000000003</v>
      </c>
      <c r="E183" s="30">
        <f t="shared" si="84"/>
        <v>3.1859999999999999</v>
      </c>
      <c r="F183" s="31">
        <f t="shared" si="85"/>
        <v>600</v>
      </c>
      <c r="G183" s="99">
        <f t="shared" si="86"/>
        <v>318.60000000000002</v>
      </c>
      <c r="H183" s="13"/>
      <c r="I183" s="215">
        <v>0.53100000000000003</v>
      </c>
      <c r="J183" s="3"/>
      <c r="K183" s="215">
        <v>0.13700000000000001</v>
      </c>
    </row>
    <row r="184" spans="1:18" hidden="1" x14ac:dyDescent="0.2">
      <c r="A184" s="219" t="s">
        <v>183</v>
      </c>
      <c r="B184" s="230" t="s">
        <v>313</v>
      </c>
      <c r="C184" s="18" t="s">
        <v>50</v>
      </c>
      <c r="D184" s="1">
        <f t="shared" si="87"/>
        <v>0.59299999999999997</v>
      </c>
      <c r="E184" s="30">
        <f t="shared" si="84"/>
        <v>3.5579999999999998</v>
      </c>
      <c r="F184" s="31">
        <f t="shared" si="85"/>
        <v>600</v>
      </c>
      <c r="G184" s="99">
        <f t="shared" si="86"/>
        <v>355.79999999999995</v>
      </c>
      <c r="H184" s="13"/>
      <c r="I184" s="215">
        <v>0.59299999999999997</v>
      </c>
      <c r="J184" s="3"/>
      <c r="K184" s="215">
        <v>0.153</v>
      </c>
    </row>
    <row r="185" spans="1:18" hidden="1" x14ac:dyDescent="0.2">
      <c r="A185" s="219" t="s">
        <v>184</v>
      </c>
      <c r="B185" s="230" t="s">
        <v>314</v>
      </c>
      <c r="C185" s="18" t="s">
        <v>51</v>
      </c>
      <c r="D185" s="1">
        <f t="shared" si="87"/>
        <v>0.65500000000000003</v>
      </c>
      <c r="E185" s="30">
        <f t="shared" si="84"/>
        <v>3.93</v>
      </c>
      <c r="F185" s="31">
        <f t="shared" si="85"/>
        <v>600</v>
      </c>
      <c r="G185" s="99">
        <f t="shared" si="86"/>
        <v>393</v>
      </c>
      <c r="H185" s="13"/>
      <c r="I185" s="215">
        <v>0.65500000000000003</v>
      </c>
      <c r="J185" s="3"/>
      <c r="K185" s="215">
        <v>0.16900000000000001</v>
      </c>
    </row>
    <row r="186" spans="1:18" hidden="1" x14ac:dyDescent="0.2">
      <c r="A186" s="219" t="s">
        <v>185</v>
      </c>
      <c r="B186" s="230" t="s">
        <v>315</v>
      </c>
      <c r="C186" s="18" t="s">
        <v>52</v>
      </c>
      <c r="D186" s="1">
        <f t="shared" si="87"/>
        <v>0.80200000000000005</v>
      </c>
      <c r="E186" s="30">
        <f t="shared" si="84"/>
        <v>4.8120000000000003</v>
      </c>
      <c r="F186" s="31">
        <f t="shared" si="85"/>
        <v>600</v>
      </c>
      <c r="G186" s="99">
        <f t="shared" si="86"/>
        <v>481.20000000000005</v>
      </c>
      <c r="H186" s="13"/>
      <c r="I186" s="215">
        <v>0.80200000000000005</v>
      </c>
      <c r="J186" s="3"/>
      <c r="K186" s="215">
        <v>0.20699999999999999</v>
      </c>
    </row>
    <row r="187" spans="1:18" hidden="1" x14ac:dyDescent="0.2">
      <c r="A187" s="219" t="s">
        <v>186</v>
      </c>
      <c r="B187" s="230" t="s">
        <v>316</v>
      </c>
      <c r="C187" s="18" t="s">
        <v>53</v>
      </c>
      <c r="D187" s="1">
        <f t="shared" si="87"/>
        <v>0.996</v>
      </c>
      <c r="E187" s="30">
        <f t="shared" si="84"/>
        <v>5.976</v>
      </c>
      <c r="F187" s="31">
        <f t="shared" si="85"/>
        <v>600</v>
      </c>
      <c r="G187" s="99">
        <f t="shared" si="86"/>
        <v>597.6</v>
      </c>
      <c r="H187" s="13"/>
      <c r="I187" s="215">
        <v>0.996</v>
      </c>
      <c r="J187" s="3"/>
      <c r="K187" s="215">
        <v>0.25700000000000001</v>
      </c>
    </row>
    <row r="188" spans="1:18" hidden="1" x14ac:dyDescent="0.2">
      <c r="A188" s="219" t="s">
        <v>187</v>
      </c>
      <c r="B188" s="231" t="s">
        <v>317</v>
      </c>
      <c r="C188" s="18" t="s">
        <v>54</v>
      </c>
      <c r="D188" s="216">
        <f t="shared" si="87"/>
        <v>1.2250000000000001</v>
      </c>
      <c r="E188" s="51">
        <f t="shared" si="84"/>
        <v>7.3500000000000005</v>
      </c>
      <c r="F188" s="29">
        <f t="shared" si="85"/>
        <v>600</v>
      </c>
      <c r="G188" s="108">
        <f t="shared" si="86"/>
        <v>735</v>
      </c>
      <c r="H188" s="13"/>
      <c r="I188" s="215">
        <v>1.2250000000000001</v>
      </c>
      <c r="J188" s="3"/>
      <c r="K188" s="215">
        <v>0.316</v>
      </c>
    </row>
    <row r="189" spans="1:18" hidden="1" x14ac:dyDescent="0.2">
      <c r="A189" s="219" t="s">
        <v>188</v>
      </c>
      <c r="B189" s="98" t="s">
        <v>318</v>
      </c>
      <c r="C189" s="18" t="s">
        <v>47</v>
      </c>
      <c r="D189" s="1">
        <f t="shared" si="87"/>
        <v>0.68200000000000005</v>
      </c>
      <c r="E189" s="30">
        <f t="shared" si="84"/>
        <v>4.0920000000000005</v>
      </c>
      <c r="F189" s="31">
        <f t="shared" si="85"/>
        <v>600</v>
      </c>
      <c r="G189" s="99">
        <f t="shared" si="86"/>
        <v>409.20000000000005</v>
      </c>
      <c r="H189" s="13"/>
      <c r="I189" s="215">
        <v>0.68200000000000005</v>
      </c>
      <c r="J189" s="3"/>
      <c r="K189" s="215">
        <v>0.17599999999999999</v>
      </c>
    </row>
    <row r="190" spans="1:18" hidden="1" x14ac:dyDescent="0.2">
      <c r="A190" s="219" t="s">
        <v>189</v>
      </c>
      <c r="B190" s="98" t="s">
        <v>342</v>
      </c>
      <c r="C190" s="18" t="s">
        <v>48</v>
      </c>
      <c r="D190" s="1">
        <f t="shared" si="87"/>
        <v>0.69799999999999995</v>
      </c>
      <c r="E190" s="30">
        <f t="shared" si="84"/>
        <v>4.1879999999999997</v>
      </c>
      <c r="F190" s="31">
        <f t="shared" si="85"/>
        <v>600</v>
      </c>
      <c r="G190" s="99">
        <f t="shared" si="86"/>
        <v>418.79999999999995</v>
      </c>
      <c r="H190" s="13"/>
      <c r="I190" s="215">
        <v>0.69799999999999995</v>
      </c>
      <c r="J190" s="3"/>
      <c r="K190" s="215">
        <v>0.18</v>
      </c>
    </row>
    <row r="191" spans="1:18" hidden="1" x14ac:dyDescent="0.2">
      <c r="A191" s="219" t="s">
        <v>190</v>
      </c>
      <c r="B191" s="98" t="s">
        <v>341</v>
      </c>
      <c r="C191" s="18" t="s">
        <v>49</v>
      </c>
      <c r="D191" s="1">
        <f t="shared" si="87"/>
        <v>0.76</v>
      </c>
      <c r="E191" s="30">
        <f t="shared" si="84"/>
        <v>4.5600000000000005</v>
      </c>
      <c r="F191" s="31">
        <f t="shared" si="85"/>
        <v>600</v>
      </c>
      <c r="G191" s="99">
        <f t="shared" si="86"/>
        <v>456</v>
      </c>
      <c r="H191" s="13"/>
      <c r="I191" s="215">
        <v>0.76</v>
      </c>
      <c r="J191" s="3"/>
      <c r="K191" s="215">
        <v>0.19600000000000001</v>
      </c>
    </row>
    <row r="192" spans="1:18" hidden="1" x14ac:dyDescent="0.2">
      <c r="A192" s="219" t="s">
        <v>191</v>
      </c>
      <c r="B192" s="98" t="s">
        <v>340</v>
      </c>
      <c r="C192" s="18" t="s">
        <v>50</v>
      </c>
      <c r="D192" s="1">
        <f t="shared" si="87"/>
        <v>0.85299999999999998</v>
      </c>
      <c r="E192" s="30">
        <f t="shared" si="84"/>
        <v>5.1180000000000003</v>
      </c>
      <c r="F192" s="31">
        <f t="shared" si="85"/>
        <v>600</v>
      </c>
      <c r="G192" s="99">
        <f t="shared" si="86"/>
        <v>511.8</v>
      </c>
      <c r="H192" s="13"/>
      <c r="I192" s="215">
        <v>0.85299999999999998</v>
      </c>
      <c r="J192" s="3"/>
      <c r="K192" s="215">
        <v>0.22</v>
      </c>
    </row>
    <row r="193" spans="1:14" hidden="1" x14ac:dyDescent="0.2">
      <c r="A193" s="219" t="s">
        <v>192</v>
      </c>
      <c r="B193" s="98" t="s">
        <v>339</v>
      </c>
      <c r="C193" s="18" t="s">
        <v>51</v>
      </c>
      <c r="D193" s="1">
        <f t="shared" si="87"/>
        <v>1.004</v>
      </c>
      <c r="E193" s="30">
        <f t="shared" si="84"/>
        <v>6.024</v>
      </c>
      <c r="F193" s="31">
        <f t="shared" si="85"/>
        <v>600</v>
      </c>
      <c r="G193" s="99">
        <f t="shared" si="86"/>
        <v>602.4</v>
      </c>
      <c r="H193" s="13"/>
      <c r="I193" s="215">
        <v>1.004</v>
      </c>
      <c r="J193" s="3"/>
      <c r="K193" s="215">
        <v>0.25900000000000001</v>
      </c>
    </row>
    <row r="194" spans="1:14" hidden="1" x14ac:dyDescent="0.2">
      <c r="A194" s="219" t="s">
        <v>193</v>
      </c>
      <c r="B194" s="98" t="s">
        <v>319</v>
      </c>
      <c r="C194" s="18" t="s">
        <v>52</v>
      </c>
      <c r="D194" s="1">
        <f t="shared" si="87"/>
        <v>1.1819999999999999</v>
      </c>
      <c r="E194" s="30">
        <f t="shared" si="84"/>
        <v>7.0919999999999996</v>
      </c>
      <c r="F194" s="31">
        <f t="shared" si="85"/>
        <v>600</v>
      </c>
      <c r="G194" s="99">
        <f t="shared" si="86"/>
        <v>709.19999999999993</v>
      </c>
      <c r="H194" s="13"/>
      <c r="I194" s="215">
        <v>1.1819999999999999</v>
      </c>
      <c r="J194" s="3"/>
      <c r="K194" s="215">
        <v>0.30499999999999999</v>
      </c>
    </row>
    <row r="195" spans="1:14" hidden="1" x14ac:dyDescent="0.2">
      <c r="A195" s="219" t="s">
        <v>194</v>
      </c>
      <c r="B195" s="98" t="s">
        <v>320</v>
      </c>
      <c r="C195" s="18" t="s">
        <v>53</v>
      </c>
      <c r="D195" s="1">
        <f t="shared" si="87"/>
        <v>1.333</v>
      </c>
      <c r="E195" s="30">
        <f t="shared" si="84"/>
        <v>7.9979999999999993</v>
      </c>
      <c r="F195" s="31">
        <f t="shared" si="85"/>
        <v>600</v>
      </c>
      <c r="G195" s="99">
        <f t="shared" si="86"/>
        <v>799.8</v>
      </c>
      <c r="H195" s="13"/>
      <c r="I195" s="215">
        <v>1.333</v>
      </c>
      <c r="J195" s="3"/>
      <c r="K195" s="215">
        <v>0.34399999999999997</v>
      </c>
    </row>
    <row r="196" spans="1:14" hidden="1" x14ac:dyDescent="0.2">
      <c r="A196" s="219" t="s">
        <v>195</v>
      </c>
      <c r="B196" s="98" t="s">
        <v>321</v>
      </c>
      <c r="C196" s="18" t="s">
        <v>54</v>
      </c>
      <c r="D196" s="1">
        <f t="shared" si="87"/>
        <v>1.5660000000000001</v>
      </c>
      <c r="E196" s="30">
        <f t="shared" si="84"/>
        <v>9.3960000000000008</v>
      </c>
      <c r="F196" s="31">
        <f t="shared" si="85"/>
        <v>600</v>
      </c>
      <c r="G196" s="99">
        <f t="shared" si="86"/>
        <v>939.6</v>
      </c>
      <c r="H196" s="13"/>
      <c r="I196" s="215">
        <v>1.5660000000000001</v>
      </c>
      <c r="J196" s="3"/>
      <c r="K196" s="215">
        <v>0.40400000000000003</v>
      </c>
    </row>
    <row r="197" spans="1:14" hidden="1" x14ac:dyDescent="0.2">
      <c r="A197" s="219" t="s">
        <v>196</v>
      </c>
      <c r="B197" s="98" t="s">
        <v>322</v>
      </c>
      <c r="C197" s="18" t="s">
        <v>55</v>
      </c>
      <c r="D197" s="1">
        <f t="shared" si="87"/>
        <v>1.972</v>
      </c>
      <c r="E197" s="30">
        <f t="shared" si="84"/>
        <v>11.832000000000001</v>
      </c>
      <c r="F197" s="31">
        <f t="shared" si="85"/>
        <v>600</v>
      </c>
      <c r="G197" s="99">
        <f t="shared" si="86"/>
        <v>1183.2</v>
      </c>
      <c r="H197" s="13"/>
      <c r="I197" s="215">
        <v>1.972</v>
      </c>
      <c r="J197" s="3"/>
      <c r="K197" s="215">
        <v>0.50900000000000001</v>
      </c>
    </row>
    <row r="198" spans="1:14" hidden="1" x14ac:dyDescent="0.2">
      <c r="A198" s="219" t="s">
        <v>197</v>
      </c>
      <c r="B198" s="98" t="s">
        <v>323</v>
      </c>
      <c r="C198" s="18" t="s">
        <v>56</v>
      </c>
      <c r="D198" s="1">
        <f t="shared" si="87"/>
        <v>2.2480000000000002</v>
      </c>
      <c r="E198" s="30">
        <f t="shared" si="84"/>
        <v>13.488000000000001</v>
      </c>
      <c r="F198" s="31">
        <f t="shared" si="85"/>
        <v>600</v>
      </c>
      <c r="G198" s="99">
        <f t="shared" si="86"/>
        <v>1348.8000000000002</v>
      </c>
      <c r="H198" s="13"/>
      <c r="I198" s="215">
        <v>2.2480000000000002</v>
      </c>
      <c r="J198" s="3"/>
      <c r="K198" s="215">
        <v>0.57999999999999996</v>
      </c>
    </row>
    <row r="199" spans="1:14" hidden="1" x14ac:dyDescent="0.2">
      <c r="A199" s="219" t="s">
        <v>198</v>
      </c>
      <c r="B199" s="98" t="s">
        <v>324</v>
      </c>
      <c r="C199" s="18" t="s">
        <v>57</v>
      </c>
      <c r="D199" s="1">
        <f t="shared" si="87"/>
        <v>2.5379999999999998</v>
      </c>
      <c r="E199" s="30">
        <f t="shared" si="84"/>
        <v>15.227999999999998</v>
      </c>
      <c r="F199" s="31">
        <f t="shared" si="85"/>
        <v>600</v>
      </c>
      <c r="G199" s="99">
        <f t="shared" si="86"/>
        <v>1522.8</v>
      </c>
      <c r="H199" s="13"/>
      <c r="I199" s="215">
        <v>2.5379999999999998</v>
      </c>
      <c r="J199" s="3"/>
      <c r="K199" s="215">
        <v>0.65500000000000003</v>
      </c>
    </row>
    <row r="200" spans="1:14" hidden="1" x14ac:dyDescent="0.2">
      <c r="A200" s="219" t="s">
        <v>199</v>
      </c>
      <c r="B200" s="232" t="s">
        <v>325</v>
      </c>
      <c r="C200" s="18" t="s">
        <v>47</v>
      </c>
      <c r="D200" s="215">
        <f t="shared" si="87"/>
        <v>0.45100000000000001</v>
      </c>
      <c r="E200" s="30">
        <f t="shared" si="84"/>
        <v>2.706</v>
      </c>
      <c r="F200" s="31">
        <f t="shared" si="85"/>
        <v>600</v>
      </c>
      <c r="G200" s="99">
        <f t="shared" si="86"/>
        <v>270.60000000000002</v>
      </c>
      <c r="H200" s="13"/>
      <c r="I200" s="215">
        <v>0.45100000000000001</v>
      </c>
      <c r="J200" s="3"/>
      <c r="K200" s="215">
        <v>0.11648000000000001</v>
      </c>
      <c r="M200"/>
      <c r="N200" s="18"/>
    </row>
    <row r="201" spans="1:14" hidden="1" x14ac:dyDescent="0.2">
      <c r="A201" s="219" t="s">
        <v>200</v>
      </c>
      <c r="B201" s="232" t="s">
        <v>326</v>
      </c>
      <c r="C201" s="18" t="s">
        <v>48</v>
      </c>
      <c r="D201" s="215">
        <f t="shared" si="87"/>
        <v>0.51</v>
      </c>
      <c r="E201" s="30">
        <f t="shared" si="84"/>
        <v>3.06</v>
      </c>
      <c r="F201" s="31">
        <f t="shared" si="85"/>
        <v>600</v>
      </c>
      <c r="G201" s="99">
        <f t="shared" si="86"/>
        <v>306</v>
      </c>
      <c r="H201" s="13"/>
      <c r="I201" s="215">
        <v>0.51</v>
      </c>
      <c r="J201" s="3"/>
      <c r="K201" s="215">
        <v>0.13160000000000002</v>
      </c>
      <c r="M201"/>
      <c r="N201" s="18"/>
    </row>
    <row r="202" spans="1:14" hidden="1" x14ac:dyDescent="0.2">
      <c r="A202" s="219" t="s">
        <v>201</v>
      </c>
      <c r="B202" s="232" t="s">
        <v>335</v>
      </c>
      <c r="C202" s="18" t="s">
        <v>49</v>
      </c>
      <c r="D202" s="215">
        <f t="shared" si="87"/>
        <v>0.57999999999999996</v>
      </c>
      <c r="E202" s="30">
        <f t="shared" si="84"/>
        <v>3.4799999999999995</v>
      </c>
      <c r="F202" s="31">
        <f t="shared" si="85"/>
        <v>600</v>
      </c>
      <c r="G202" s="99">
        <f t="shared" si="86"/>
        <v>348</v>
      </c>
      <c r="H202" s="13"/>
      <c r="I202" s="215">
        <v>0.57999999999999996</v>
      </c>
      <c r="J202" s="3"/>
      <c r="K202" s="215">
        <v>0.14980000000000002</v>
      </c>
      <c r="M202"/>
      <c r="N202" s="18"/>
    </row>
    <row r="203" spans="1:14" hidden="1" x14ac:dyDescent="0.2">
      <c r="A203" s="219" t="s">
        <v>202</v>
      </c>
      <c r="B203" s="232" t="s">
        <v>334</v>
      </c>
      <c r="C203" s="18" t="s">
        <v>50</v>
      </c>
      <c r="D203" s="215">
        <f t="shared" si="87"/>
        <v>0.66400000000000003</v>
      </c>
      <c r="E203" s="30">
        <f t="shared" si="84"/>
        <v>3.984</v>
      </c>
      <c r="F203" s="31">
        <f t="shared" si="85"/>
        <v>600</v>
      </c>
      <c r="G203" s="99">
        <f t="shared" si="86"/>
        <v>398.40000000000003</v>
      </c>
      <c r="H203" s="13"/>
      <c r="I203" s="215">
        <v>0.66400000000000003</v>
      </c>
      <c r="J203" s="3"/>
      <c r="K203" s="215">
        <v>0.17136000000000004</v>
      </c>
      <c r="M203"/>
      <c r="N203" s="18"/>
    </row>
    <row r="204" spans="1:14" hidden="1" x14ac:dyDescent="0.2">
      <c r="A204" s="219" t="s">
        <v>203</v>
      </c>
      <c r="B204" s="232" t="s">
        <v>333</v>
      </c>
      <c r="C204" s="18" t="s">
        <v>51</v>
      </c>
      <c r="D204" s="215">
        <f t="shared" si="87"/>
        <v>0.76400000000000001</v>
      </c>
      <c r="E204" s="30">
        <f t="shared" si="84"/>
        <v>4.5839999999999996</v>
      </c>
      <c r="F204" s="31">
        <f t="shared" si="85"/>
        <v>600</v>
      </c>
      <c r="G204" s="99">
        <f t="shared" si="86"/>
        <v>458.40000000000003</v>
      </c>
      <c r="H204" s="13"/>
      <c r="I204" s="215">
        <v>0.76400000000000001</v>
      </c>
      <c r="J204" s="3"/>
      <c r="K204" s="215">
        <v>0.19712000000000005</v>
      </c>
      <c r="M204"/>
      <c r="N204" s="18"/>
    </row>
    <row r="205" spans="1:14" hidden="1" x14ac:dyDescent="0.2">
      <c r="A205" s="219" t="s">
        <v>204</v>
      </c>
      <c r="B205" s="232" t="s">
        <v>327</v>
      </c>
      <c r="C205" s="18" t="s">
        <v>52</v>
      </c>
      <c r="D205" s="215">
        <f t="shared" si="87"/>
        <v>0.876</v>
      </c>
      <c r="E205" s="30">
        <f t="shared" si="84"/>
        <v>5.2560000000000002</v>
      </c>
      <c r="F205" s="31">
        <f t="shared" si="85"/>
        <v>600</v>
      </c>
      <c r="G205" s="99">
        <f t="shared" si="86"/>
        <v>525.6</v>
      </c>
      <c r="H205" s="13"/>
      <c r="I205" s="215">
        <v>0.876</v>
      </c>
      <c r="J205" s="3"/>
      <c r="K205" s="215">
        <v>0.22610000000000002</v>
      </c>
      <c r="M205"/>
      <c r="N205" s="18"/>
    </row>
    <row r="206" spans="1:14" hidden="1" x14ac:dyDescent="0.2">
      <c r="A206" s="219" t="s">
        <v>205</v>
      </c>
      <c r="B206" s="232" t="s">
        <v>329</v>
      </c>
      <c r="C206" s="18" t="s">
        <v>53</v>
      </c>
      <c r="D206" s="215">
        <f t="shared" si="87"/>
        <v>0.96899999999999997</v>
      </c>
      <c r="E206" s="30">
        <f t="shared" si="84"/>
        <v>5.8140000000000001</v>
      </c>
      <c r="F206" s="31">
        <f t="shared" si="85"/>
        <v>600</v>
      </c>
      <c r="G206" s="99">
        <f t="shared" si="86"/>
        <v>581.4</v>
      </c>
      <c r="H206" s="13"/>
      <c r="I206" s="215">
        <v>0.96899999999999997</v>
      </c>
      <c r="J206" s="3"/>
      <c r="K206" s="215">
        <v>0.25018000000000001</v>
      </c>
      <c r="M206"/>
      <c r="N206" s="18"/>
    </row>
    <row r="207" spans="1:14" hidden="1" x14ac:dyDescent="0.2">
      <c r="A207" s="219" t="s">
        <v>206</v>
      </c>
      <c r="B207" s="232" t="s">
        <v>328</v>
      </c>
      <c r="C207" s="18" t="s">
        <v>54</v>
      </c>
      <c r="D207" s="215">
        <f t="shared" si="87"/>
        <v>1.1919999999999999</v>
      </c>
      <c r="E207" s="30">
        <f t="shared" si="84"/>
        <v>7.1519999999999992</v>
      </c>
      <c r="F207" s="31">
        <f t="shared" si="85"/>
        <v>600</v>
      </c>
      <c r="G207" s="99">
        <f t="shared" si="86"/>
        <v>715.19999999999993</v>
      </c>
      <c r="H207" s="13"/>
      <c r="I207" s="215">
        <v>1.1919999999999999</v>
      </c>
      <c r="J207" s="3"/>
      <c r="K207" s="215">
        <v>0.30772000000000005</v>
      </c>
      <c r="M207"/>
      <c r="N207" s="18"/>
    </row>
    <row r="208" spans="1:14" hidden="1" x14ac:dyDescent="0.2">
      <c r="A208" s="219" t="s">
        <v>207</v>
      </c>
      <c r="B208" s="232" t="s">
        <v>330</v>
      </c>
      <c r="C208" s="18" t="s">
        <v>55</v>
      </c>
      <c r="D208" s="215">
        <f t="shared" si="87"/>
        <v>1.542</v>
      </c>
      <c r="E208" s="30">
        <f t="shared" si="84"/>
        <v>9.2520000000000007</v>
      </c>
      <c r="F208" s="31">
        <f t="shared" si="85"/>
        <v>600</v>
      </c>
      <c r="G208" s="99">
        <f t="shared" si="86"/>
        <v>925.2</v>
      </c>
      <c r="H208" s="13"/>
      <c r="I208" s="215">
        <v>1.542</v>
      </c>
      <c r="J208" s="3"/>
      <c r="K208" s="215">
        <v>0.39802000000000004</v>
      </c>
      <c r="M208"/>
      <c r="N208" s="18"/>
    </row>
    <row r="209" spans="1:14" hidden="1" x14ac:dyDescent="0.2">
      <c r="A209" s="219" t="s">
        <v>208</v>
      </c>
      <c r="B209" s="232" t="s">
        <v>331</v>
      </c>
      <c r="C209" s="18" t="s">
        <v>56</v>
      </c>
      <c r="D209" s="215">
        <f t="shared" si="87"/>
        <v>1.6759999999999999</v>
      </c>
      <c r="E209" s="30">
        <f t="shared" si="84"/>
        <v>10.055999999999999</v>
      </c>
      <c r="F209" s="31">
        <f t="shared" si="85"/>
        <v>600</v>
      </c>
      <c r="G209" s="99">
        <f t="shared" si="86"/>
        <v>1005.5999999999999</v>
      </c>
      <c r="H209" s="13"/>
      <c r="I209" s="215">
        <v>1.6759999999999999</v>
      </c>
      <c r="J209" s="3"/>
      <c r="K209" s="215">
        <v>0.43246000000000001</v>
      </c>
      <c r="M209"/>
      <c r="N209" s="18"/>
    </row>
    <row r="210" spans="1:14" hidden="1" x14ac:dyDescent="0.2">
      <c r="A210" s="219" t="s">
        <v>209</v>
      </c>
      <c r="B210" s="232" t="s">
        <v>332</v>
      </c>
      <c r="C210" s="18" t="s">
        <v>57</v>
      </c>
      <c r="D210" s="215">
        <f t="shared" si="87"/>
        <v>1.837</v>
      </c>
      <c r="E210" s="30">
        <f t="shared" si="84"/>
        <v>11.022</v>
      </c>
      <c r="F210" s="31">
        <f t="shared" si="85"/>
        <v>600</v>
      </c>
      <c r="G210" s="99">
        <f t="shared" si="86"/>
        <v>1102.2</v>
      </c>
      <c r="H210" s="13"/>
      <c r="I210" s="215">
        <v>1.837</v>
      </c>
      <c r="J210" s="3"/>
      <c r="K210" s="215">
        <v>0.47404000000000013</v>
      </c>
      <c r="M210"/>
      <c r="N210" s="18"/>
    </row>
    <row r="211" spans="1:14" hidden="1" x14ac:dyDescent="0.2">
      <c r="A211" s="219" t="s">
        <v>210</v>
      </c>
      <c r="B211" s="98" t="s">
        <v>336</v>
      </c>
      <c r="C211" s="18" t="s">
        <v>47</v>
      </c>
      <c r="D211" s="215">
        <f t="shared" si="87"/>
        <v>0.47399999999999998</v>
      </c>
      <c r="E211" s="30">
        <f t="shared" si="84"/>
        <v>2.8439999999999999</v>
      </c>
      <c r="F211" s="31">
        <f t="shared" si="85"/>
        <v>600</v>
      </c>
      <c r="G211" s="99">
        <f t="shared" si="86"/>
        <v>284.39999999999998</v>
      </c>
      <c r="H211" s="13"/>
      <c r="I211" s="215">
        <v>0.47399999999999998</v>
      </c>
      <c r="J211" s="3"/>
      <c r="K211" s="215">
        <v>0.12236000000000002</v>
      </c>
      <c r="M211"/>
      <c r="N211" s="18"/>
    </row>
    <row r="212" spans="1:14" hidden="1" x14ac:dyDescent="0.2">
      <c r="A212" s="219" t="s">
        <v>211</v>
      </c>
      <c r="B212" s="98" t="s">
        <v>343</v>
      </c>
      <c r="C212" s="18" t="s">
        <v>48</v>
      </c>
      <c r="D212" s="215">
        <f t="shared" si="87"/>
        <v>0.53500000000000003</v>
      </c>
      <c r="E212" s="30">
        <f t="shared" si="84"/>
        <v>3.21</v>
      </c>
      <c r="F212" s="31">
        <f t="shared" si="85"/>
        <v>600</v>
      </c>
      <c r="G212" s="99">
        <f t="shared" si="86"/>
        <v>321</v>
      </c>
      <c r="H212" s="13"/>
      <c r="I212" s="215">
        <v>0.53500000000000003</v>
      </c>
      <c r="J212" s="3"/>
      <c r="K212" s="215">
        <v>0.13804</v>
      </c>
      <c r="M212"/>
      <c r="N212" s="18"/>
    </row>
    <row r="213" spans="1:14" hidden="1" x14ac:dyDescent="0.2">
      <c r="A213" s="219" t="s">
        <v>212</v>
      </c>
      <c r="B213" s="98" t="s">
        <v>338</v>
      </c>
      <c r="C213" s="18" t="s">
        <v>49</v>
      </c>
      <c r="D213" s="215">
        <f t="shared" si="87"/>
        <v>0.61099999999999999</v>
      </c>
      <c r="E213" s="30">
        <f t="shared" si="84"/>
        <v>3.6659999999999999</v>
      </c>
      <c r="F213" s="31">
        <f t="shared" si="85"/>
        <v>600</v>
      </c>
      <c r="G213" s="99">
        <f t="shared" si="86"/>
        <v>366.59999999999997</v>
      </c>
      <c r="H213" s="13"/>
      <c r="I213" s="215">
        <v>0.61099999999999999</v>
      </c>
      <c r="J213" s="3"/>
      <c r="K213" s="215">
        <v>0.15778000000000003</v>
      </c>
      <c r="M213"/>
      <c r="N213" s="18"/>
    </row>
    <row r="214" spans="1:14" hidden="1" x14ac:dyDescent="0.2">
      <c r="A214" s="219" t="s">
        <v>213</v>
      </c>
      <c r="B214" s="98" t="s">
        <v>337</v>
      </c>
      <c r="C214" s="18" t="s">
        <v>50</v>
      </c>
      <c r="D214" s="215">
        <f t="shared" si="87"/>
        <v>0.69699999999999995</v>
      </c>
      <c r="E214" s="30">
        <f t="shared" si="84"/>
        <v>4.1819999999999995</v>
      </c>
      <c r="F214" s="31">
        <f t="shared" si="85"/>
        <v>600</v>
      </c>
      <c r="G214" s="99">
        <f t="shared" si="86"/>
        <v>418.2</v>
      </c>
      <c r="H214" s="13"/>
      <c r="I214" s="215">
        <v>0.69699999999999995</v>
      </c>
      <c r="J214" s="3"/>
      <c r="K214" s="215">
        <v>0.17990000000000003</v>
      </c>
      <c r="M214"/>
      <c r="N214" s="18"/>
    </row>
    <row r="215" spans="1:14" hidden="1" x14ac:dyDescent="0.2">
      <c r="A215" s="219" t="s">
        <v>214</v>
      </c>
      <c r="B215" s="98" t="s">
        <v>344</v>
      </c>
      <c r="C215" s="18" t="s">
        <v>51</v>
      </c>
      <c r="D215" s="215">
        <f t="shared" si="87"/>
        <v>0.79900000000000004</v>
      </c>
      <c r="E215" s="30">
        <f t="shared" si="84"/>
        <v>4.7940000000000005</v>
      </c>
      <c r="F215" s="31">
        <f t="shared" si="85"/>
        <v>600</v>
      </c>
      <c r="G215" s="99">
        <f t="shared" si="86"/>
        <v>479.40000000000003</v>
      </c>
      <c r="H215" s="13"/>
      <c r="I215" s="215">
        <v>0.79900000000000004</v>
      </c>
      <c r="J215" s="3"/>
      <c r="K215" s="215">
        <v>0.20608000000000001</v>
      </c>
      <c r="M215"/>
      <c r="N215" s="18"/>
    </row>
    <row r="216" spans="1:14" hidden="1" x14ac:dyDescent="0.2">
      <c r="A216" s="219" t="s">
        <v>215</v>
      </c>
      <c r="B216" s="98" t="s">
        <v>345</v>
      </c>
      <c r="C216" s="18" t="s">
        <v>52</v>
      </c>
      <c r="D216" s="215">
        <f t="shared" si="87"/>
        <v>0.91800000000000004</v>
      </c>
      <c r="E216" s="30">
        <f t="shared" si="84"/>
        <v>5.508</v>
      </c>
      <c r="F216" s="31">
        <f t="shared" si="85"/>
        <v>600</v>
      </c>
      <c r="G216" s="99">
        <f t="shared" si="86"/>
        <v>550.80000000000007</v>
      </c>
      <c r="H216" s="13"/>
      <c r="I216" s="215">
        <v>0.91800000000000004</v>
      </c>
      <c r="J216" s="3"/>
      <c r="K216" s="215">
        <v>0.23688000000000003</v>
      </c>
      <c r="M216"/>
      <c r="N216" s="18"/>
    </row>
    <row r="217" spans="1:14" hidden="1" x14ac:dyDescent="0.2">
      <c r="A217" s="219" t="s">
        <v>216</v>
      </c>
      <c r="B217" s="98" t="s">
        <v>346</v>
      </c>
      <c r="C217" s="18" t="s">
        <v>53</v>
      </c>
      <c r="D217" s="215">
        <f t="shared" si="87"/>
        <v>1.0660000000000001</v>
      </c>
      <c r="E217" s="30">
        <f t="shared" si="84"/>
        <v>6.3960000000000008</v>
      </c>
      <c r="F217" s="31">
        <f t="shared" si="85"/>
        <v>600</v>
      </c>
      <c r="G217" s="99">
        <f t="shared" si="86"/>
        <v>639.6</v>
      </c>
      <c r="H217" s="13"/>
      <c r="I217" s="215">
        <v>1.0660000000000001</v>
      </c>
      <c r="J217" s="3"/>
      <c r="K217" s="215">
        <v>0.27510000000000001</v>
      </c>
      <c r="M217"/>
      <c r="N217" s="18"/>
    </row>
    <row r="218" spans="1:14" hidden="1" x14ac:dyDescent="0.2">
      <c r="A218" s="219" t="s">
        <v>217</v>
      </c>
      <c r="B218" s="98" t="s">
        <v>347</v>
      </c>
      <c r="C218" s="18" t="s">
        <v>54</v>
      </c>
      <c r="D218" s="215">
        <f t="shared" si="87"/>
        <v>1.2549999999999999</v>
      </c>
      <c r="E218" s="30">
        <f t="shared" si="84"/>
        <v>7.5299999999999994</v>
      </c>
      <c r="F218" s="31">
        <f t="shared" si="85"/>
        <v>600</v>
      </c>
      <c r="G218" s="99">
        <f t="shared" si="86"/>
        <v>752.99999999999989</v>
      </c>
      <c r="H218" s="13"/>
      <c r="I218" s="215">
        <v>1.2549999999999999</v>
      </c>
      <c r="J218" s="3"/>
      <c r="K218" s="215">
        <v>0.32382000000000005</v>
      </c>
      <c r="M218"/>
      <c r="N218" s="18"/>
    </row>
    <row r="219" spans="1:14" hidden="1" x14ac:dyDescent="0.2">
      <c r="A219" s="219" t="s">
        <v>218</v>
      </c>
      <c r="B219" s="98" t="s">
        <v>348</v>
      </c>
      <c r="C219" s="18" t="s">
        <v>55</v>
      </c>
      <c r="D219" s="215">
        <f t="shared" si="87"/>
        <v>1.635</v>
      </c>
      <c r="E219" s="30">
        <f t="shared" si="84"/>
        <v>9.81</v>
      </c>
      <c r="F219" s="31">
        <f t="shared" si="85"/>
        <v>600</v>
      </c>
      <c r="G219" s="99">
        <f t="shared" si="86"/>
        <v>981</v>
      </c>
      <c r="H219" s="13"/>
      <c r="I219" s="215">
        <v>1.635</v>
      </c>
      <c r="J219" s="3"/>
      <c r="K219" s="215">
        <v>0.42196</v>
      </c>
      <c r="M219"/>
      <c r="N219" s="18"/>
    </row>
    <row r="220" spans="1:14" hidden="1" x14ac:dyDescent="0.2">
      <c r="A220" s="219" t="s">
        <v>219</v>
      </c>
      <c r="B220" s="98" t="s">
        <v>349</v>
      </c>
      <c r="C220" s="18" t="s">
        <v>56</v>
      </c>
      <c r="D220" s="215">
        <f t="shared" si="87"/>
        <v>1.776</v>
      </c>
      <c r="E220" s="30">
        <f t="shared" si="84"/>
        <v>10.656000000000001</v>
      </c>
      <c r="F220" s="31">
        <f t="shared" si="85"/>
        <v>600</v>
      </c>
      <c r="G220" s="99">
        <f t="shared" si="86"/>
        <v>1065.5999999999999</v>
      </c>
      <c r="H220" s="13"/>
      <c r="I220" s="215">
        <v>1.776</v>
      </c>
      <c r="J220" s="3"/>
      <c r="K220" s="215">
        <v>0.45835999999999999</v>
      </c>
      <c r="M220"/>
      <c r="N220" s="18"/>
    </row>
    <row r="221" spans="1:14" hidden="1" x14ac:dyDescent="0.2">
      <c r="A221" s="219" t="s">
        <v>220</v>
      </c>
      <c r="B221" s="98" t="s">
        <v>350</v>
      </c>
      <c r="C221" s="18" t="s">
        <v>57</v>
      </c>
      <c r="D221" s="215">
        <f t="shared" si="87"/>
        <v>1.9370000000000001</v>
      </c>
      <c r="E221" s="30">
        <f t="shared" si="84"/>
        <v>11.622</v>
      </c>
      <c r="F221" s="31">
        <f t="shared" si="85"/>
        <v>600</v>
      </c>
      <c r="G221" s="99">
        <f t="shared" si="86"/>
        <v>1162.2</v>
      </c>
      <c r="H221" s="13"/>
      <c r="I221" s="215">
        <v>1.9370000000000001</v>
      </c>
      <c r="J221" s="3"/>
      <c r="K221" s="215">
        <v>0.49994000000000005</v>
      </c>
      <c r="M221"/>
      <c r="N221" s="18"/>
    </row>
    <row r="222" spans="1:14" hidden="1" x14ac:dyDescent="0.2">
      <c r="A222" s="219" t="s">
        <v>221</v>
      </c>
      <c r="B222" s="226" t="s">
        <v>351</v>
      </c>
      <c r="C222" s="18" t="s">
        <v>48</v>
      </c>
      <c r="D222" s="1">
        <f t="shared" si="87"/>
        <v>0.88400000000000001</v>
      </c>
      <c r="E222" s="30">
        <f t="shared" si="84"/>
        <v>5.3040000000000003</v>
      </c>
      <c r="F222" s="31">
        <f t="shared" si="85"/>
        <v>600</v>
      </c>
      <c r="G222" s="99">
        <f t="shared" si="86"/>
        <v>530.4</v>
      </c>
      <c r="H222" s="13"/>
      <c r="I222" s="215">
        <v>0.88400000000000001</v>
      </c>
      <c r="J222" s="3"/>
      <c r="K222" s="215">
        <v>0.22800000000000001</v>
      </c>
      <c r="M222"/>
      <c r="N222" s="18"/>
    </row>
    <row r="223" spans="1:14" hidden="1" x14ac:dyDescent="0.2">
      <c r="A223" s="219" t="s">
        <v>222</v>
      </c>
      <c r="B223" s="226" t="s">
        <v>352</v>
      </c>
      <c r="C223" s="18" t="s">
        <v>49</v>
      </c>
      <c r="D223" s="1">
        <f t="shared" si="87"/>
        <v>1.0189999999999999</v>
      </c>
      <c r="E223" s="30">
        <f t="shared" si="84"/>
        <v>6.113999999999999</v>
      </c>
      <c r="F223" s="31">
        <f t="shared" si="85"/>
        <v>600</v>
      </c>
      <c r="G223" s="99">
        <f t="shared" si="86"/>
        <v>611.4</v>
      </c>
      <c r="H223" s="13"/>
      <c r="I223" s="215">
        <v>1.0189999999999999</v>
      </c>
      <c r="J223" s="3"/>
      <c r="K223" s="215">
        <v>0.26300000000000001</v>
      </c>
      <c r="M223"/>
      <c r="N223" s="18"/>
    </row>
    <row r="224" spans="1:14" hidden="1" x14ac:dyDescent="0.2">
      <c r="A224" s="219" t="s">
        <v>223</v>
      </c>
      <c r="B224" s="226" t="s">
        <v>353</v>
      </c>
      <c r="C224" s="18" t="s">
        <v>50</v>
      </c>
      <c r="D224" s="1">
        <f t="shared" si="87"/>
        <v>1.232</v>
      </c>
      <c r="E224" s="30">
        <f t="shared" si="84"/>
        <v>7.3919999999999995</v>
      </c>
      <c r="F224" s="31">
        <f t="shared" si="85"/>
        <v>600</v>
      </c>
      <c r="G224" s="99">
        <f t="shared" si="86"/>
        <v>739.2</v>
      </c>
      <c r="H224" s="13"/>
      <c r="I224" s="215">
        <v>1.232</v>
      </c>
      <c r="J224" s="3"/>
      <c r="K224" s="215">
        <v>0.318</v>
      </c>
      <c r="M224"/>
      <c r="N224" s="18"/>
    </row>
    <row r="225" spans="1:14" hidden="1" x14ac:dyDescent="0.2">
      <c r="A225" s="219" t="s">
        <v>224</v>
      </c>
      <c r="B225" s="226" t="s">
        <v>354</v>
      </c>
      <c r="C225" s="18" t="s">
        <v>51</v>
      </c>
      <c r="D225" s="1">
        <f t="shared" si="87"/>
        <v>1.4379999999999999</v>
      </c>
      <c r="E225" s="30">
        <f t="shared" si="84"/>
        <v>8.6280000000000001</v>
      </c>
      <c r="F225" s="31">
        <f t="shared" si="85"/>
        <v>600</v>
      </c>
      <c r="G225" s="99">
        <f t="shared" si="86"/>
        <v>862.8</v>
      </c>
      <c r="H225" s="13"/>
      <c r="I225" s="215">
        <v>1.4379999999999999</v>
      </c>
      <c r="J225" s="3"/>
      <c r="K225" s="215">
        <v>0.371</v>
      </c>
      <c r="M225"/>
      <c r="N225" s="18"/>
    </row>
    <row r="226" spans="1:14" hidden="1" x14ac:dyDescent="0.2">
      <c r="A226" s="219" t="s">
        <v>225</v>
      </c>
      <c r="B226" s="226" t="s">
        <v>355</v>
      </c>
      <c r="C226" s="18" t="s">
        <v>52</v>
      </c>
      <c r="D226" s="1">
        <f t="shared" si="87"/>
        <v>1.728</v>
      </c>
      <c r="E226" s="30">
        <f t="shared" si="84"/>
        <v>10.368</v>
      </c>
      <c r="F226" s="31">
        <f t="shared" si="85"/>
        <v>600</v>
      </c>
      <c r="G226" s="99">
        <f t="shared" si="86"/>
        <v>1036.8</v>
      </c>
      <c r="H226" s="13"/>
      <c r="I226" s="215">
        <v>1.728</v>
      </c>
      <c r="J226" s="3"/>
      <c r="K226" s="215">
        <v>0.44600000000000001</v>
      </c>
      <c r="M226"/>
      <c r="N226" s="18"/>
    </row>
    <row r="227" spans="1:14" hidden="1" x14ac:dyDescent="0.2">
      <c r="A227" s="219" t="s">
        <v>226</v>
      </c>
      <c r="B227" s="226" t="s">
        <v>356</v>
      </c>
      <c r="C227" s="18" t="s">
        <v>53</v>
      </c>
      <c r="D227" s="1">
        <f t="shared" si="87"/>
        <v>1.786</v>
      </c>
      <c r="E227" s="30">
        <f t="shared" si="84"/>
        <v>10.716000000000001</v>
      </c>
      <c r="F227" s="31">
        <f t="shared" si="85"/>
        <v>600</v>
      </c>
      <c r="G227" s="99">
        <f t="shared" si="86"/>
        <v>1071.5999999999999</v>
      </c>
      <c r="H227" s="13"/>
      <c r="I227" s="215">
        <v>1.786</v>
      </c>
      <c r="J227" s="3"/>
      <c r="K227" s="215">
        <v>0.46100000000000002</v>
      </c>
      <c r="M227"/>
      <c r="N227" s="18"/>
    </row>
    <row r="228" spans="1:14" hidden="1" x14ac:dyDescent="0.2">
      <c r="A228" s="219" t="s">
        <v>227</v>
      </c>
      <c r="B228" s="226" t="s">
        <v>357</v>
      </c>
      <c r="C228" s="18" t="s">
        <v>54</v>
      </c>
      <c r="D228" s="1">
        <f t="shared" si="87"/>
        <v>1.91</v>
      </c>
      <c r="E228" s="30">
        <f t="shared" si="84"/>
        <v>11.459999999999999</v>
      </c>
      <c r="F228" s="31">
        <f t="shared" si="85"/>
        <v>600</v>
      </c>
      <c r="G228" s="99">
        <f t="shared" si="86"/>
        <v>1146</v>
      </c>
      <c r="H228" s="13"/>
      <c r="I228" s="215">
        <v>1.91</v>
      </c>
      <c r="J228" s="3"/>
      <c r="K228" s="215">
        <v>0.49299999999999999</v>
      </c>
      <c r="M228"/>
      <c r="N228" s="18"/>
    </row>
    <row r="229" spans="1:14" hidden="1" x14ac:dyDescent="0.2">
      <c r="A229" s="219" t="s">
        <v>228</v>
      </c>
      <c r="B229" s="226" t="s">
        <v>358</v>
      </c>
      <c r="C229" s="18" t="s">
        <v>55</v>
      </c>
      <c r="D229" s="1">
        <f t="shared" si="87"/>
        <v>2.17</v>
      </c>
      <c r="E229" s="30">
        <f t="shared" si="84"/>
        <v>13.02</v>
      </c>
      <c r="F229" s="31">
        <f t="shared" si="85"/>
        <v>600</v>
      </c>
      <c r="G229" s="99">
        <f t="shared" si="86"/>
        <v>1302</v>
      </c>
      <c r="H229" s="13"/>
      <c r="I229" s="215">
        <v>2.17</v>
      </c>
      <c r="J229" s="3"/>
      <c r="K229" s="215">
        <v>0.56000000000000005</v>
      </c>
      <c r="M229"/>
      <c r="N229" s="18"/>
    </row>
    <row r="230" spans="1:14" hidden="1" x14ac:dyDescent="0.2">
      <c r="A230" s="219" t="s">
        <v>229</v>
      </c>
      <c r="B230" s="226" t="s">
        <v>359</v>
      </c>
      <c r="C230" s="18" t="s">
        <v>56</v>
      </c>
      <c r="D230" s="1">
        <f t="shared" si="87"/>
        <v>2.5150000000000001</v>
      </c>
      <c r="E230" s="30">
        <f t="shared" si="84"/>
        <v>15.09</v>
      </c>
      <c r="F230" s="31">
        <f t="shared" si="85"/>
        <v>600</v>
      </c>
      <c r="G230" s="99">
        <f t="shared" si="86"/>
        <v>1509</v>
      </c>
      <c r="H230" s="13"/>
      <c r="I230" s="215">
        <v>2.5150000000000001</v>
      </c>
      <c r="J230" s="3"/>
      <c r="K230" s="215">
        <v>0.64900000000000002</v>
      </c>
      <c r="M230"/>
      <c r="N230" s="18"/>
    </row>
    <row r="231" spans="1:14" hidden="1" x14ac:dyDescent="0.2">
      <c r="A231" s="219" t="s">
        <v>230</v>
      </c>
      <c r="B231" s="226" t="s">
        <v>360</v>
      </c>
      <c r="C231" s="18" t="s">
        <v>57</v>
      </c>
      <c r="D231" s="1">
        <f t="shared" si="87"/>
        <v>2.8090000000000002</v>
      </c>
      <c r="E231" s="30">
        <f t="shared" si="84"/>
        <v>16.853999999999999</v>
      </c>
      <c r="F231" s="31">
        <f t="shared" si="85"/>
        <v>600</v>
      </c>
      <c r="G231" s="99">
        <f t="shared" si="86"/>
        <v>1685.4</v>
      </c>
      <c r="H231" s="13"/>
      <c r="I231" s="215">
        <v>2.8090000000000002</v>
      </c>
      <c r="J231" s="3"/>
      <c r="K231" s="215">
        <v>0.72499999999999998</v>
      </c>
      <c r="M231"/>
      <c r="N231" s="18"/>
    </row>
    <row r="232" spans="1:14" hidden="1" x14ac:dyDescent="0.2">
      <c r="A232" s="219" t="s">
        <v>231</v>
      </c>
      <c r="B232" s="98" t="s">
        <v>361</v>
      </c>
      <c r="C232" s="18" t="s">
        <v>58</v>
      </c>
      <c r="D232" s="1">
        <f t="shared" si="87"/>
        <v>2.141</v>
      </c>
      <c r="E232" s="30">
        <f t="shared" ref="E232:E241" si="88">D232*6</f>
        <v>12.846</v>
      </c>
      <c r="F232" s="31">
        <f t="shared" si="85"/>
        <v>600</v>
      </c>
      <c r="G232" s="99">
        <f t="shared" ref="G232:G241" si="89">ROUNDUP(F232,0)*D232</f>
        <v>1284.5999999999999</v>
      </c>
      <c r="H232" s="13"/>
      <c r="I232" s="215">
        <v>2.141</v>
      </c>
      <c r="J232" s="3"/>
      <c r="K232" s="215">
        <v>0.55244000000000004</v>
      </c>
      <c r="M232"/>
      <c r="N232" s="18"/>
    </row>
    <row r="233" spans="1:14" hidden="1" x14ac:dyDescent="0.2">
      <c r="A233" s="219" t="s">
        <v>232</v>
      </c>
      <c r="B233" s="98" t="s">
        <v>362</v>
      </c>
      <c r="C233" s="18" t="s">
        <v>59</v>
      </c>
      <c r="D233" s="1">
        <f t="shared" ref="D233:D246" si="90">+I233</f>
        <v>2.1579999999999999</v>
      </c>
      <c r="E233" s="30">
        <f t="shared" si="88"/>
        <v>12.948</v>
      </c>
      <c r="F233" s="31">
        <f t="shared" si="85"/>
        <v>600</v>
      </c>
      <c r="G233" s="99">
        <f t="shared" si="89"/>
        <v>1294.8</v>
      </c>
      <c r="H233" s="13"/>
      <c r="I233" s="215">
        <v>2.1579999999999999</v>
      </c>
      <c r="J233" s="3"/>
      <c r="K233" s="215">
        <v>0.55692000000000008</v>
      </c>
      <c r="M233"/>
      <c r="N233" s="18"/>
    </row>
    <row r="234" spans="1:14" hidden="1" x14ac:dyDescent="0.2">
      <c r="A234" s="219" t="s">
        <v>233</v>
      </c>
      <c r="B234" s="98" t="s">
        <v>363</v>
      </c>
      <c r="C234" s="18" t="s">
        <v>60</v>
      </c>
      <c r="D234" s="1">
        <f t="shared" si="90"/>
        <v>2.286</v>
      </c>
      <c r="E234" s="30">
        <f t="shared" si="88"/>
        <v>13.716000000000001</v>
      </c>
      <c r="F234" s="31">
        <f t="shared" si="85"/>
        <v>600</v>
      </c>
      <c r="G234" s="99">
        <f t="shared" si="89"/>
        <v>1371.6</v>
      </c>
      <c r="H234" s="13"/>
      <c r="I234" s="215">
        <v>2.286</v>
      </c>
      <c r="J234" s="3"/>
      <c r="K234" s="215">
        <v>0.58996000000000004</v>
      </c>
      <c r="M234"/>
      <c r="N234" s="18"/>
    </row>
    <row r="235" spans="1:14" hidden="1" x14ac:dyDescent="0.2">
      <c r="A235" s="219" t="s">
        <v>234</v>
      </c>
      <c r="B235" s="98" t="s">
        <v>364</v>
      </c>
      <c r="C235" s="18" t="s">
        <v>61</v>
      </c>
      <c r="D235" s="1">
        <f t="shared" si="90"/>
        <v>2.343</v>
      </c>
      <c r="E235" s="30">
        <f t="shared" si="88"/>
        <v>14.058</v>
      </c>
      <c r="F235" s="31">
        <f t="shared" si="85"/>
        <v>600</v>
      </c>
      <c r="G235" s="99">
        <f t="shared" si="89"/>
        <v>1405.8</v>
      </c>
      <c r="H235" s="13"/>
      <c r="I235" s="215">
        <v>2.343</v>
      </c>
      <c r="J235" s="3"/>
      <c r="K235" s="215">
        <v>0.60465999999999998</v>
      </c>
      <c r="M235"/>
      <c r="N235" s="18"/>
    </row>
    <row r="236" spans="1:14" hidden="1" x14ac:dyDescent="0.2">
      <c r="A236" s="219" t="s">
        <v>235</v>
      </c>
      <c r="B236" s="98" t="s">
        <v>365</v>
      </c>
      <c r="C236" s="18" t="s">
        <v>62</v>
      </c>
      <c r="D236" s="1">
        <f t="shared" si="90"/>
        <v>2.4289999999999998</v>
      </c>
      <c r="E236" s="30">
        <f t="shared" si="88"/>
        <v>14.573999999999998</v>
      </c>
      <c r="F236" s="31">
        <f t="shared" si="85"/>
        <v>600</v>
      </c>
      <c r="G236" s="99">
        <f t="shared" si="89"/>
        <v>1457.3999999999999</v>
      </c>
      <c r="H236" s="13"/>
      <c r="I236" s="215">
        <v>2.4289999999999998</v>
      </c>
      <c r="J236" s="3"/>
      <c r="K236" s="215">
        <v>0.62692000000000003</v>
      </c>
      <c r="M236"/>
      <c r="N236" s="18"/>
    </row>
    <row r="237" spans="1:14" hidden="1" x14ac:dyDescent="0.2">
      <c r="A237" s="219" t="s">
        <v>236</v>
      </c>
      <c r="B237" s="98" t="s">
        <v>366</v>
      </c>
      <c r="C237" s="18" t="s">
        <v>63</v>
      </c>
      <c r="D237" s="1">
        <f t="shared" si="90"/>
        <v>2.4740000000000002</v>
      </c>
      <c r="E237" s="30">
        <f t="shared" si="88"/>
        <v>14.844000000000001</v>
      </c>
      <c r="F237" s="31">
        <f t="shared" si="85"/>
        <v>600</v>
      </c>
      <c r="G237" s="99">
        <f t="shared" si="89"/>
        <v>1484.4</v>
      </c>
      <c r="H237" s="13"/>
      <c r="I237" s="215">
        <v>2.4740000000000002</v>
      </c>
      <c r="J237" s="3"/>
      <c r="K237" s="215">
        <v>0.63854000000000011</v>
      </c>
      <c r="M237"/>
      <c r="N237" s="18"/>
    </row>
    <row r="238" spans="1:14" hidden="1" x14ac:dyDescent="0.2">
      <c r="A238" s="219" t="s">
        <v>237</v>
      </c>
      <c r="B238" s="98" t="s">
        <v>367</v>
      </c>
      <c r="C238" s="18" t="s">
        <v>64</v>
      </c>
      <c r="D238" s="1">
        <f t="shared" si="90"/>
        <v>2.5419999999999998</v>
      </c>
      <c r="E238" s="30">
        <f t="shared" si="88"/>
        <v>15.251999999999999</v>
      </c>
      <c r="F238" s="31">
        <f t="shared" si="85"/>
        <v>600</v>
      </c>
      <c r="G238" s="99">
        <f t="shared" si="89"/>
        <v>1525.1999999999998</v>
      </c>
      <c r="H238" s="13"/>
      <c r="I238" s="215">
        <v>2.5419999999999998</v>
      </c>
      <c r="J238" s="3"/>
      <c r="K238" s="215">
        <v>0.65590000000000004</v>
      </c>
      <c r="M238"/>
      <c r="N238" s="18"/>
    </row>
    <row r="239" spans="1:14" hidden="1" x14ac:dyDescent="0.2">
      <c r="A239" s="219" t="s">
        <v>238</v>
      </c>
      <c r="B239" s="98" t="s">
        <v>368</v>
      </c>
      <c r="C239" s="18" t="s">
        <v>65</v>
      </c>
      <c r="D239" s="1">
        <f t="shared" si="90"/>
        <v>2.6190000000000002</v>
      </c>
      <c r="E239" s="30">
        <f t="shared" si="88"/>
        <v>15.714000000000002</v>
      </c>
      <c r="F239" s="31">
        <f t="shared" si="85"/>
        <v>600</v>
      </c>
      <c r="G239" s="99">
        <f t="shared" si="89"/>
        <v>1571.4</v>
      </c>
      <c r="H239" s="13"/>
      <c r="I239" s="215">
        <v>2.6190000000000002</v>
      </c>
      <c r="J239" s="3"/>
      <c r="K239" s="215">
        <v>0.67578000000000005</v>
      </c>
      <c r="M239"/>
      <c r="N239" s="18"/>
    </row>
    <row r="240" spans="1:14" hidden="1" x14ac:dyDescent="0.2">
      <c r="A240" s="219" t="s">
        <v>239</v>
      </c>
      <c r="B240" s="98" t="s">
        <v>369</v>
      </c>
      <c r="C240" s="18" t="s">
        <v>66</v>
      </c>
      <c r="D240" s="1">
        <f t="shared" si="90"/>
        <v>2.677</v>
      </c>
      <c r="E240" s="30">
        <f t="shared" si="88"/>
        <v>16.062000000000001</v>
      </c>
      <c r="F240" s="31">
        <f t="shared" si="85"/>
        <v>600</v>
      </c>
      <c r="G240" s="99">
        <f t="shared" si="89"/>
        <v>1606.2</v>
      </c>
      <c r="H240" s="13"/>
      <c r="I240" s="215">
        <v>2.677</v>
      </c>
      <c r="J240" s="3"/>
      <c r="K240" s="215">
        <v>0.69076000000000004</v>
      </c>
      <c r="M240"/>
      <c r="N240" s="18"/>
    </row>
    <row r="241" spans="1:14" hidden="1" x14ac:dyDescent="0.2">
      <c r="A241" s="219" t="s">
        <v>240</v>
      </c>
      <c r="B241" s="98" t="s">
        <v>370</v>
      </c>
      <c r="C241" s="18" t="s">
        <v>67</v>
      </c>
      <c r="D241" s="1">
        <f t="shared" si="90"/>
        <v>2.7149999999999999</v>
      </c>
      <c r="E241" s="30">
        <f t="shared" si="88"/>
        <v>16.29</v>
      </c>
      <c r="F241" s="31">
        <f t="shared" si="85"/>
        <v>600</v>
      </c>
      <c r="G241" s="99">
        <f t="shared" si="89"/>
        <v>1629</v>
      </c>
      <c r="H241" s="13"/>
      <c r="I241" s="215">
        <v>2.7149999999999999</v>
      </c>
      <c r="J241" s="3"/>
      <c r="K241" s="215">
        <v>0.7007000000000001</v>
      </c>
      <c r="M241"/>
      <c r="N241" s="18"/>
    </row>
    <row r="242" spans="1:14" hidden="1" x14ac:dyDescent="0.2">
      <c r="A242" s="219" t="s">
        <v>241</v>
      </c>
      <c r="B242" s="98" t="s">
        <v>371</v>
      </c>
      <c r="C242" s="18" t="s">
        <v>68</v>
      </c>
      <c r="D242" s="1">
        <f t="shared" si="90"/>
        <v>2.7959999999999998</v>
      </c>
      <c r="E242" s="30">
        <f t="shared" ref="E242:E246" si="91">D242*6</f>
        <v>16.776</v>
      </c>
      <c r="F242" s="31">
        <f t="shared" si="85"/>
        <v>600</v>
      </c>
      <c r="G242" s="99">
        <f t="shared" ref="G242:G246" si="92">ROUNDUP(F242,0)*D242</f>
        <v>1677.6</v>
      </c>
      <c r="H242" s="13"/>
      <c r="I242" s="215">
        <v>2.7959999999999998</v>
      </c>
      <c r="J242" s="3"/>
      <c r="K242" s="215">
        <v>0.72156000000000009</v>
      </c>
      <c r="M242"/>
      <c r="N242" s="18"/>
    </row>
    <row r="243" spans="1:14" hidden="1" x14ac:dyDescent="0.2">
      <c r="A243" s="219" t="s">
        <v>242</v>
      </c>
      <c r="B243" s="98" t="s">
        <v>372</v>
      </c>
      <c r="C243" s="18" t="s">
        <v>131</v>
      </c>
      <c r="D243" s="1">
        <f t="shared" si="90"/>
        <v>2.956</v>
      </c>
      <c r="E243" s="30">
        <f t="shared" si="91"/>
        <v>17.736000000000001</v>
      </c>
      <c r="F243" s="31">
        <f t="shared" si="85"/>
        <v>600</v>
      </c>
      <c r="G243" s="99">
        <f t="shared" si="92"/>
        <v>1773.6</v>
      </c>
      <c r="H243" s="13"/>
      <c r="I243" s="215">
        <v>2.956</v>
      </c>
      <c r="J243" s="3"/>
      <c r="K243" s="215">
        <v>0.76279200000000014</v>
      </c>
      <c r="M243"/>
      <c r="N243" s="18"/>
    </row>
    <row r="244" spans="1:14" hidden="1" x14ac:dyDescent="0.2">
      <c r="A244" s="219" t="s">
        <v>243</v>
      </c>
      <c r="B244" s="98" t="s">
        <v>373</v>
      </c>
      <c r="C244" s="18" t="s">
        <v>132</v>
      </c>
      <c r="D244" s="1">
        <f t="shared" si="90"/>
        <v>3.1160000000000001</v>
      </c>
      <c r="E244" s="30">
        <f t="shared" si="91"/>
        <v>18.696000000000002</v>
      </c>
      <c r="F244" s="31">
        <f t="shared" si="85"/>
        <v>600</v>
      </c>
      <c r="G244" s="99">
        <f t="shared" si="92"/>
        <v>1869.6000000000001</v>
      </c>
      <c r="H244" s="13"/>
      <c r="I244" s="215">
        <v>3.1160000000000001</v>
      </c>
      <c r="J244" s="3"/>
      <c r="K244" s="215">
        <v>0.80402400000000007</v>
      </c>
      <c r="M244"/>
      <c r="N244" s="18"/>
    </row>
    <row r="245" spans="1:14" hidden="1" x14ac:dyDescent="0.2">
      <c r="A245" s="219" t="s">
        <v>244</v>
      </c>
      <c r="B245" s="98" t="s">
        <v>374</v>
      </c>
      <c r="C245" s="18" t="s">
        <v>133</v>
      </c>
      <c r="D245" s="1">
        <f t="shared" si="90"/>
        <v>3.2749999999999999</v>
      </c>
      <c r="E245" s="30">
        <f t="shared" si="91"/>
        <v>19.649999999999999</v>
      </c>
      <c r="F245" s="31">
        <f t="shared" si="85"/>
        <v>600</v>
      </c>
      <c r="G245" s="99">
        <f t="shared" si="92"/>
        <v>1965</v>
      </c>
      <c r="H245" s="13"/>
      <c r="I245" s="215">
        <v>3.2749999999999999</v>
      </c>
      <c r="J245" s="3"/>
      <c r="K245" s="215">
        <v>0.84525600000000012</v>
      </c>
      <c r="M245"/>
      <c r="N245" s="18"/>
    </row>
    <row r="246" spans="1:14" ht="13.5" hidden="1" thickBot="1" x14ac:dyDescent="0.25">
      <c r="A246" s="219" t="s">
        <v>245</v>
      </c>
      <c r="B246" s="233" t="s">
        <v>375</v>
      </c>
      <c r="C246" s="135" t="s">
        <v>134</v>
      </c>
      <c r="D246" s="110">
        <f t="shared" si="90"/>
        <v>3.4350000000000001</v>
      </c>
      <c r="E246" s="146">
        <f t="shared" si="91"/>
        <v>20.61</v>
      </c>
      <c r="F246" s="113">
        <f t="shared" si="85"/>
        <v>600</v>
      </c>
      <c r="G246" s="114">
        <f t="shared" si="92"/>
        <v>2061</v>
      </c>
      <c r="H246" s="13"/>
      <c r="I246" s="215">
        <v>3.4350000000000001</v>
      </c>
      <c r="J246" s="3"/>
      <c r="K246" s="215">
        <v>0.88648800000000005</v>
      </c>
      <c r="M246"/>
      <c r="N246" s="18"/>
    </row>
    <row r="247" spans="1:14" hidden="1" x14ac:dyDescent="0.2">
      <c r="B247" s="191"/>
      <c r="C247" s="34"/>
      <c r="D247" s="34"/>
      <c r="E247" s="51"/>
      <c r="F247" s="29"/>
      <c r="G247" s="108"/>
      <c r="H247" s="13"/>
      <c r="K247" s="215"/>
    </row>
    <row r="248" spans="1:14" hidden="1" x14ac:dyDescent="0.2">
      <c r="B248" s="90" t="s">
        <v>137</v>
      </c>
      <c r="C248"/>
      <c r="D248"/>
      <c r="E248" s="30"/>
      <c r="F248" s="31"/>
      <c r="G248" s="99"/>
      <c r="H248" s="13"/>
      <c r="K248" s="215"/>
    </row>
    <row r="249" spans="1:14" hidden="1" x14ac:dyDescent="0.2">
      <c r="A249" s="219" t="s">
        <v>246</v>
      </c>
      <c r="B249" s="102" t="s">
        <v>135</v>
      </c>
      <c r="C249" s="37"/>
      <c r="D249" s="43">
        <f>+I249</f>
        <v>0.187</v>
      </c>
      <c r="E249" s="35">
        <f t="shared" ref="E249" si="93">D249*6</f>
        <v>1.1219999999999999</v>
      </c>
      <c r="F249" s="36">
        <f t="shared" si="85"/>
        <v>600</v>
      </c>
      <c r="G249" s="103">
        <f t="shared" ref="G249" si="94">ROUNDUP(F249,0)*D249</f>
        <v>112.2</v>
      </c>
      <c r="H249" s="13"/>
      <c r="I249" s="215">
        <v>0.187</v>
      </c>
      <c r="J249" s="253"/>
      <c r="K249" s="215">
        <v>0.1865</v>
      </c>
    </row>
    <row r="250" spans="1:14" hidden="1" x14ac:dyDescent="0.2">
      <c r="A250" s="219" t="s">
        <v>247</v>
      </c>
      <c r="B250" s="102" t="s">
        <v>136</v>
      </c>
      <c r="C250" s="37"/>
      <c r="D250" s="43">
        <f>+I250</f>
        <v>0.34100000000000003</v>
      </c>
      <c r="E250" s="35">
        <f t="shared" ref="E250" si="95">D250*6</f>
        <v>2.0460000000000003</v>
      </c>
      <c r="F250" s="36">
        <f t="shared" si="85"/>
        <v>600</v>
      </c>
      <c r="G250" s="103">
        <f t="shared" ref="G250" si="96">ROUNDUP(F250,0)*D250</f>
        <v>204.60000000000002</v>
      </c>
      <c r="H250" s="13"/>
      <c r="I250" s="215">
        <v>0.34100000000000003</v>
      </c>
      <c r="J250" s="253"/>
      <c r="K250" s="215">
        <v>0.34020000000000006</v>
      </c>
    </row>
    <row r="251" spans="1:14" hidden="1" x14ac:dyDescent="0.2">
      <c r="B251" s="90"/>
      <c r="C251"/>
      <c r="D251"/>
      <c r="E251"/>
      <c r="F251"/>
      <c r="G251" s="91"/>
      <c r="H251" s="13"/>
      <c r="K251" s="215"/>
    </row>
    <row r="252" spans="1:14" hidden="1" x14ac:dyDescent="0.2">
      <c r="A252" s="219" t="s">
        <v>376</v>
      </c>
      <c r="B252" s="57" t="s">
        <v>377</v>
      </c>
      <c r="C252" s="12" t="s">
        <v>69</v>
      </c>
      <c r="D252" s="32">
        <f t="shared" ref="D252:D256" si="97">+I252</f>
        <v>98.17</v>
      </c>
      <c r="E252" s="32">
        <f>D252*1/50</f>
        <v>1.9634</v>
      </c>
      <c r="F252" s="38">
        <f>ROUNDUP((+$G$2/50),0)</f>
        <v>2</v>
      </c>
      <c r="G252" s="92">
        <f t="shared" ref="G252:G256" si="98">ROUNDUP(F252,0)*D252</f>
        <v>196.34</v>
      </c>
      <c r="H252" s="13"/>
      <c r="I252" s="253">
        <v>98.17</v>
      </c>
      <c r="J252" s="2"/>
      <c r="K252" s="215">
        <v>28.25</v>
      </c>
    </row>
    <row r="253" spans="1:14" hidden="1" x14ac:dyDescent="0.2">
      <c r="A253" s="219" t="s">
        <v>376</v>
      </c>
      <c r="B253" s="57" t="s">
        <v>379</v>
      </c>
      <c r="C253" s="12" t="s">
        <v>69</v>
      </c>
      <c r="D253" s="32">
        <f t="shared" ref="D253" si="99">+I253</f>
        <v>98.17</v>
      </c>
      <c r="E253" s="32">
        <f>D253*1/50</f>
        <v>1.9634</v>
      </c>
      <c r="F253" s="38">
        <f>ROUNDUP((+$G$2/50),0)</f>
        <v>2</v>
      </c>
      <c r="G253" s="92">
        <f t="shared" ref="G253" si="100">ROUNDUP(F253,0)*D253</f>
        <v>196.34</v>
      </c>
      <c r="H253" s="13"/>
      <c r="I253" s="253">
        <v>98.17</v>
      </c>
      <c r="J253" s="2"/>
      <c r="K253" s="215">
        <v>28.25</v>
      </c>
    </row>
    <row r="254" spans="1:14" hidden="1" x14ac:dyDescent="0.2">
      <c r="A254" s="219" t="s">
        <v>378</v>
      </c>
      <c r="B254" s="56" t="s">
        <v>392</v>
      </c>
      <c r="C254" s="12" t="s">
        <v>69</v>
      </c>
      <c r="D254" s="21">
        <f t="shared" si="97"/>
        <v>102.51</v>
      </c>
      <c r="E254" s="23">
        <f>D254*1/55</f>
        <v>1.8638181818181818</v>
      </c>
      <c r="F254" s="42">
        <f>ROUNDUP((+$G$2/50),0)</f>
        <v>2</v>
      </c>
      <c r="G254" s="94">
        <f t="shared" si="98"/>
        <v>205.02</v>
      </c>
      <c r="H254" s="13"/>
      <c r="I254" s="253">
        <v>102.51</v>
      </c>
      <c r="J254" s="5"/>
      <c r="K254" s="215">
        <v>29.5</v>
      </c>
    </row>
    <row r="255" spans="1:14" hidden="1" x14ac:dyDescent="0.2">
      <c r="A255" s="219" t="s">
        <v>380</v>
      </c>
      <c r="B255" s="56" t="s">
        <v>382</v>
      </c>
      <c r="C255" s="8" t="s">
        <v>261</v>
      </c>
      <c r="D255" s="21">
        <f t="shared" si="97"/>
        <v>129.03</v>
      </c>
      <c r="E255" s="23">
        <f>D255*1/55</f>
        <v>2.3460000000000001</v>
      </c>
      <c r="F255" s="42">
        <f>ROUNDUP((+$G$2/50),0)</f>
        <v>2</v>
      </c>
      <c r="G255" s="94">
        <f t="shared" si="98"/>
        <v>258.06</v>
      </c>
      <c r="H255" s="13"/>
      <c r="I255" s="253">
        <v>129.03</v>
      </c>
      <c r="J255" s="5"/>
      <c r="K255" s="215">
        <v>37.130000000000003</v>
      </c>
    </row>
    <row r="256" spans="1:14" hidden="1" x14ac:dyDescent="0.2">
      <c r="A256" s="219" t="s">
        <v>381</v>
      </c>
      <c r="B256" s="62" t="s">
        <v>383</v>
      </c>
      <c r="C256" s="8" t="s">
        <v>261</v>
      </c>
      <c r="D256" s="28">
        <f t="shared" si="97"/>
        <v>138.65</v>
      </c>
      <c r="E256" s="28">
        <f>D256*1/50</f>
        <v>2.7730000000000001</v>
      </c>
      <c r="F256" s="39">
        <f>ROUNDUP((+$G$2/50),0)</f>
        <v>2</v>
      </c>
      <c r="G256" s="87">
        <f t="shared" si="98"/>
        <v>277.3</v>
      </c>
      <c r="H256" s="13"/>
      <c r="I256" s="253">
        <v>138.65</v>
      </c>
      <c r="J256" s="2"/>
      <c r="K256" s="215">
        <v>39.9</v>
      </c>
    </row>
    <row r="257" spans="2:11" hidden="1" x14ac:dyDescent="0.2">
      <c r="B257" s="90"/>
      <c r="C257"/>
      <c r="D257"/>
      <c r="E257"/>
      <c r="F257"/>
      <c r="G257" s="91"/>
      <c r="H257" s="13"/>
      <c r="J257" s="26" t="s">
        <v>70</v>
      </c>
      <c r="K257" s="215"/>
    </row>
    <row r="258" spans="2:11" hidden="1" x14ac:dyDescent="0.2">
      <c r="B258" s="57" t="s">
        <v>11</v>
      </c>
      <c r="C258" s="40" t="s">
        <v>71</v>
      </c>
      <c r="D258" s="21">
        <v>26.5</v>
      </c>
      <c r="E258" s="21">
        <f>D258*9/25</f>
        <v>9.5399999999999991</v>
      </c>
      <c r="F258" s="41">
        <f>ROUNDUP(((+$G$2*9)/25),0)</f>
        <v>36</v>
      </c>
      <c r="G258" s="92">
        <f t="shared" ref="G258:G261" si="101">ROUNDUP(F258,0)*D258</f>
        <v>954</v>
      </c>
      <c r="H258" s="13"/>
      <c r="J258" s="5">
        <f>+F258*25</f>
        <v>900</v>
      </c>
    </row>
    <row r="259" spans="2:11" hidden="1" x14ac:dyDescent="0.2">
      <c r="B259" s="56" t="s">
        <v>72</v>
      </c>
      <c r="C259" s="8" t="s">
        <v>71</v>
      </c>
      <c r="D259" s="21">
        <v>26.5</v>
      </c>
      <c r="E259" s="23">
        <f>D259*12/25</f>
        <v>12.72</v>
      </c>
      <c r="F259" s="42">
        <f>ROUNDUP(((+$G$2*12)/25),0)</f>
        <v>48</v>
      </c>
      <c r="G259" s="94">
        <f t="shared" si="101"/>
        <v>1272</v>
      </c>
      <c r="H259" s="13"/>
      <c r="J259" s="5">
        <f>+F259*25</f>
        <v>1200</v>
      </c>
    </row>
    <row r="260" spans="2:11" hidden="1" x14ac:dyDescent="0.2">
      <c r="B260" s="56" t="s">
        <v>138</v>
      </c>
      <c r="C260" s="8" t="s">
        <v>71</v>
      </c>
      <c r="D260" s="21">
        <v>22</v>
      </c>
      <c r="E260" s="23">
        <f>D260*9/25</f>
        <v>7.92</v>
      </c>
      <c r="F260" s="42">
        <f>ROUNDUP(((+$G$2*9)/25),0)</f>
        <v>36</v>
      </c>
      <c r="G260" s="94">
        <f t="shared" si="101"/>
        <v>792</v>
      </c>
      <c r="H260" s="13"/>
      <c r="J260" s="5">
        <f>+F260*25</f>
        <v>900</v>
      </c>
    </row>
    <row r="261" spans="2:11" hidden="1" x14ac:dyDescent="0.2">
      <c r="B261" s="62" t="s">
        <v>139</v>
      </c>
      <c r="C261" s="17" t="s">
        <v>71</v>
      </c>
      <c r="D261" s="21">
        <v>22</v>
      </c>
      <c r="E261" s="28">
        <f>D261*12/25</f>
        <v>10.56</v>
      </c>
      <c r="F261" s="39">
        <f>ROUNDUP(((+$G$2*12)/25),0)</f>
        <v>48</v>
      </c>
      <c r="G261" s="87">
        <f t="shared" si="101"/>
        <v>1056</v>
      </c>
      <c r="H261" s="13"/>
      <c r="J261" s="5">
        <f>+F261*25</f>
        <v>1200</v>
      </c>
    </row>
    <row r="262" spans="2:11" hidden="1" x14ac:dyDescent="0.2">
      <c r="B262" s="90"/>
      <c r="C262"/>
      <c r="D262"/>
      <c r="E262"/>
      <c r="F262"/>
      <c r="G262" s="91"/>
      <c r="H262" s="13"/>
      <c r="J262" s="5"/>
    </row>
    <row r="263" spans="2:11" hidden="1" x14ac:dyDescent="0.2">
      <c r="B263" s="104" t="s">
        <v>12</v>
      </c>
      <c r="C263" s="40" t="s">
        <v>73</v>
      </c>
      <c r="D263" s="21">
        <v>134.55000000000001</v>
      </c>
      <c r="E263" s="21">
        <f>D263*1/100</f>
        <v>1.3455000000000001</v>
      </c>
      <c r="F263" s="41">
        <f>ROUNDUP((+$G$2/100),0)</f>
        <v>1</v>
      </c>
      <c r="G263" s="92">
        <f t="shared" ref="G263" si="102">ROUNDUP(F263,0)*D263</f>
        <v>134.55000000000001</v>
      </c>
      <c r="H263" s="13"/>
      <c r="J263" s="5">
        <f>+F263*24</f>
        <v>24</v>
      </c>
    </row>
    <row r="264" spans="2:11" hidden="1" x14ac:dyDescent="0.2">
      <c r="B264" s="105" t="s">
        <v>74</v>
      </c>
      <c r="C264" s="43" t="s">
        <v>75</v>
      </c>
      <c r="D264" s="28">
        <f>35/0.5/0.9</f>
        <v>77.777777777777771</v>
      </c>
      <c r="E264" s="35">
        <f>D264*1.8/24</f>
        <v>5.833333333333333</v>
      </c>
      <c r="F264" s="44">
        <f>ROUNDUP((+$G$2*2/24),0)</f>
        <v>9</v>
      </c>
      <c r="G264" s="87">
        <f>ROUNDUP(F264,0)*D264</f>
        <v>700</v>
      </c>
      <c r="H264" s="13"/>
      <c r="J264" s="5">
        <f>+F264*24</f>
        <v>216</v>
      </c>
    </row>
    <row r="265" spans="2:11" hidden="1" x14ac:dyDescent="0.2">
      <c r="B265" s="90"/>
      <c r="C265"/>
      <c r="D265"/>
      <c r="E265"/>
      <c r="F265"/>
      <c r="G265" s="91"/>
      <c r="H265" s="13"/>
      <c r="J265" s="5"/>
    </row>
    <row r="266" spans="2:11" hidden="1" x14ac:dyDescent="0.2">
      <c r="B266" s="57" t="s">
        <v>13</v>
      </c>
      <c r="C266" s="40" t="s">
        <v>75</v>
      </c>
      <c r="D266" s="21">
        <v>83.5</v>
      </c>
      <c r="E266" s="21">
        <f>D266*2.2/24</f>
        <v>7.6541666666666677</v>
      </c>
      <c r="F266" s="41">
        <f>ROUNDUP((+$G$2*2.2/24),0)</f>
        <v>10</v>
      </c>
      <c r="G266" s="92">
        <f>ROUNDUP(F266,0)*D266</f>
        <v>835</v>
      </c>
      <c r="H266" s="13"/>
      <c r="J266" s="5">
        <f>+F266*24</f>
        <v>240</v>
      </c>
    </row>
    <row r="267" spans="2:11" hidden="1" x14ac:dyDescent="0.2">
      <c r="B267" s="57" t="s">
        <v>76</v>
      </c>
      <c r="C267" s="40" t="s">
        <v>75</v>
      </c>
      <c r="D267" s="21">
        <v>75</v>
      </c>
      <c r="E267" s="21">
        <f>D267*2.2/24</f>
        <v>6.875</v>
      </c>
      <c r="F267" s="41">
        <f>ROUNDUP((+$G$2*2.2/24),0)</f>
        <v>10</v>
      </c>
      <c r="G267" s="94">
        <f>ROUNDUP(F267,0)*D267</f>
        <v>750</v>
      </c>
      <c r="H267" s="13"/>
      <c r="J267" s="5">
        <f>+F267*24</f>
        <v>240</v>
      </c>
    </row>
    <row r="268" spans="2:11" hidden="1" x14ac:dyDescent="0.2">
      <c r="B268" s="73" t="s">
        <v>77</v>
      </c>
      <c r="C268" s="43" t="s">
        <v>75</v>
      </c>
      <c r="D268" s="35">
        <v>144.94999999999999</v>
      </c>
      <c r="E268" s="35">
        <f>D268*1/24</f>
        <v>6.0395833333333329</v>
      </c>
      <c r="F268" s="44">
        <f>ROUNDUP((+$G$2*1/24),0)</f>
        <v>5</v>
      </c>
      <c r="G268" s="87">
        <f>ROUNDUP(F268,0)*D268</f>
        <v>724.75</v>
      </c>
      <c r="H268" s="13"/>
      <c r="J268" s="5">
        <f>+F268*24</f>
        <v>120</v>
      </c>
    </row>
    <row r="269" spans="2:11" hidden="1" x14ac:dyDescent="0.2">
      <c r="B269" s="90"/>
      <c r="C269"/>
      <c r="D269"/>
      <c r="E269" s="30"/>
      <c r="F269" s="31"/>
      <c r="G269" s="99"/>
      <c r="H269" s="13"/>
    </row>
    <row r="270" spans="2:11" hidden="1" x14ac:dyDescent="0.2">
      <c r="B270" s="106" t="s">
        <v>260</v>
      </c>
      <c r="C270" s="45"/>
      <c r="D270" s="46">
        <v>0.03</v>
      </c>
      <c r="E270" s="21"/>
      <c r="F270" s="22"/>
      <c r="G270" s="92"/>
      <c r="H270" s="13"/>
    </row>
    <row r="271" spans="2:11" hidden="1" x14ac:dyDescent="0.2">
      <c r="B271" s="107" t="s">
        <v>258</v>
      </c>
      <c r="C271" s="47"/>
      <c r="D271" s="48">
        <v>0.03</v>
      </c>
      <c r="E271" s="23"/>
      <c r="F271" s="49"/>
      <c r="G271" s="94"/>
      <c r="H271" s="13"/>
    </row>
    <row r="272" spans="2:11" hidden="1" x14ac:dyDescent="0.2">
      <c r="B272" s="107" t="s">
        <v>259</v>
      </c>
      <c r="C272" s="47"/>
      <c r="D272" s="48">
        <v>0.06</v>
      </c>
      <c r="E272" s="23"/>
      <c r="F272" s="49"/>
      <c r="G272" s="94"/>
      <c r="H272" s="13"/>
    </row>
    <row r="273" spans="2:18" hidden="1" x14ac:dyDescent="0.2">
      <c r="B273" s="105"/>
      <c r="C273" s="34"/>
      <c r="D273" s="50"/>
      <c r="E273" s="51"/>
      <c r="F273" s="29"/>
      <c r="G273" s="108"/>
      <c r="H273" s="13"/>
    </row>
    <row r="274" spans="2:18" hidden="1" x14ac:dyDescent="0.2">
      <c r="B274" s="90"/>
      <c r="C274"/>
      <c r="D274"/>
      <c r="E274" s="30"/>
      <c r="F274" s="31"/>
      <c r="G274" s="99"/>
      <c r="H274" s="13"/>
      <c r="O274" s="52" t="s">
        <v>96</v>
      </c>
      <c r="P274" s="133" t="s">
        <v>97</v>
      </c>
      <c r="Q274" s="143" t="s">
        <v>414</v>
      </c>
      <c r="R274" s="192" t="s">
        <v>248</v>
      </c>
    </row>
    <row r="275" spans="2:18" hidden="1" x14ac:dyDescent="0.2">
      <c r="B275" s="104" t="s">
        <v>78</v>
      </c>
      <c r="C275" s="20"/>
      <c r="D275" s="46">
        <f>+K275*0.5*L275/100</f>
        <v>0.04</v>
      </c>
      <c r="E275" s="21">
        <f>D275*2</f>
        <v>0.08</v>
      </c>
      <c r="F275" s="33"/>
      <c r="G275" s="88"/>
      <c r="H275" s="13"/>
      <c r="J275" s="26">
        <v>8.5</v>
      </c>
      <c r="K275" s="52">
        <v>8</v>
      </c>
      <c r="L275" s="5">
        <v>1</v>
      </c>
      <c r="M275" s="144" t="s">
        <v>96</v>
      </c>
      <c r="O275" s="52">
        <v>8</v>
      </c>
      <c r="P275" s="133">
        <v>5.2</v>
      </c>
      <c r="Q275" s="373">
        <v>6.5</v>
      </c>
      <c r="R275" s="192"/>
    </row>
    <row r="276" spans="2:18" hidden="1" x14ac:dyDescent="0.2">
      <c r="B276" s="90" t="s">
        <v>79</v>
      </c>
      <c r="C276"/>
      <c r="D276" s="46">
        <f t="shared" ref="D276:D297" si="103">+K276*0.5*L276/100</f>
        <v>1.4999999999999999E-2</v>
      </c>
      <c r="E276" s="21">
        <f t="shared" ref="E276:E297" si="104">D276*2</f>
        <v>0.03</v>
      </c>
      <c r="F276" s="31"/>
      <c r="G276" s="99"/>
      <c r="H276" s="13"/>
      <c r="J276" s="26">
        <v>3.6</v>
      </c>
      <c r="K276" s="133">
        <v>3</v>
      </c>
      <c r="L276" s="5">
        <v>1</v>
      </c>
      <c r="M276" s="144" t="s">
        <v>97</v>
      </c>
      <c r="O276" s="52">
        <v>0</v>
      </c>
      <c r="P276" s="133">
        <v>3</v>
      </c>
      <c r="Q276" s="373"/>
      <c r="R276" s="192"/>
    </row>
    <row r="277" spans="2:18" hidden="1" x14ac:dyDescent="0.2">
      <c r="B277" s="90" t="s">
        <v>80</v>
      </c>
      <c r="C277"/>
      <c r="D277" s="46">
        <f t="shared" si="103"/>
        <v>0.04</v>
      </c>
      <c r="E277" s="21">
        <f t="shared" si="104"/>
        <v>0.08</v>
      </c>
      <c r="F277" s="31"/>
      <c r="G277" s="99"/>
      <c r="H277" s="13"/>
      <c r="J277" s="26">
        <v>7.5</v>
      </c>
      <c r="K277" s="52">
        <v>8</v>
      </c>
      <c r="L277" s="5">
        <v>1</v>
      </c>
      <c r="M277" s="144" t="s">
        <v>96</v>
      </c>
      <c r="O277" s="52">
        <v>8</v>
      </c>
      <c r="P277" s="133">
        <v>7</v>
      </c>
      <c r="Q277" s="373"/>
      <c r="R277" s="192"/>
    </row>
    <row r="278" spans="2:18" hidden="1" x14ac:dyDescent="0.2">
      <c r="B278" s="90" t="s">
        <v>154</v>
      </c>
      <c r="C278"/>
      <c r="D278" s="46">
        <f t="shared" si="103"/>
        <v>0.03</v>
      </c>
      <c r="E278" s="21">
        <f t="shared" si="104"/>
        <v>0.06</v>
      </c>
      <c r="F278" s="31"/>
      <c r="G278" s="99"/>
      <c r="H278" s="13"/>
      <c r="J278" s="26">
        <v>4.9000000000000004</v>
      </c>
      <c r="K278" s="52">
        <v>6</v>
      </c>
      <c r="L278" s="5">
        <v>1</v>
      </c>
      <c r="M278" s="144" t="s">
        <v>97</v>
      </c>
      <c r="O278" s="52">
        <v>6</v>
      </c>
      <c r="P278" s="133">
        <v>5.2</v>
      </c>
      <c r="Q278" s="373"/>
      <c r="R278" s="192"/>
    </row>
    <row r="279" spans="2:18" hidden="1" x14ac:dyDescent="0.2">
      <c r="B279" s="90" t="s">
        <v>81</v>
      </c>
      <c r="C279"/>
      <c r="D279" s="46">
        <f>+K279*0.5*L279/100</f>
        <v>1.4999999999999999E-2</v>
      </c>
      <c r="E279" s="21">
        <f t="shared" si="104"/>
        <v>0.03</v>
      </c>
      <c r="F279" s="31"/>
      <c r="G279" s="99"/>
      <c r="H279" s="13"/>
      <c r="J279" s="26">
        <v>3.2</v>
      </c>
      <c r="K279" s="133">
        <v>3</v>
      </c>
      <c r="L279" s="5">
        <v>1</v>
      </c>
      <c r="M279" s="144" t="s">
        <v>97</v>
      </c>
      <c r="O279" s="52" t="s">
        <v>153</v>
      </c>
      <c r="P279" s="133">
        <v>3</v>
      </c>
      <c r="Q279" s="373"/>
      <c r="R279" s="192"/>
    </row>
    <row r="280" spans="2:18" hidden="1" x14ac:dyDescent="0.2">
      <c r="B280" s="90" t="s">
        <v>82</v>
      </c>
      <c r="C280"/>
      <c r="D280" s="46">
        <f t="shared" si="103"/>
        <v>2.2000000000000002E-2</v>
      </c>
      <c r="E280" s="21">
        <f t="shared" si="104"/>
        <v>4.4000000000000004E-2</v>
      </c>
      <c r="F280" s="31"/>
      <c r="G280" s="99"/>
      <c r="H280" s="13"/>
      <c r="J280" s="26">
        <v>4.5</v>
      </c>
      <c r="K280" s="133">
        <v>4.4000000000000004</v>
      </c>
      <c r="L280" s="5">
        <v>1</v>
      </c>
      <c r="M280" s="144" t="s">
        <v>97</v>
      </c>
      <c r="O280" s="52" t="s">
        <v>153</v>
      </c>
      <c r="P280" s="133">
        <v>4.4000000000000004</v>
      </c>
      <c r="Q280" s="373"/>
      <c r="R280" s="192"/>
    </row>
    <row r="281" spans="2:18" hidden="1" x14ac:dyDescent="0.2">
      <c r="B281" s="90" t="s">
        <v>83</v>
      </c>
      <c r="C281"/>
      <c r="D281" s="46">
        <f t="shared" si="103"/>
        <v>2.6000000000000002E-2</v>
      </c>
      <c r="E281" s="21">
        <f t="shared" si="104"/>
        <v>5.2000000000000005E-2</v>
      </c>
      <c r="F281" s="31"/>
      <c r="G281" s="99"/>
      <c r="H281" s="13"/>
      <c r="J281" s="26">
        <v>5.9</v>
      </c>
      <c r="K281" s="133">
        <v>5.2</v>
      </c>
      <c r="L281" s="5">
        <v>1</v>
      </c>
      <c r="M281" s="144" t="s">
        <v>97</v>
      </c>
      <c r="O281" s="52" t="s">
        <v>153</v>
      </c>
      <c r="P281" s="133">
        <v>5.2</v>
      </c>
      <c r="Q281" s="373"/>
      <c r="R281" s="192"/>
    </row>
    <row r="282" spans="2:18" hidden="1" x14ac:dyDescent="0.2">
      <c r="B282" s="90" t="s">
        <v>84</v>
      </c>
      <c r="C282"/>
      <c r="D282" s="46">
        <f t="shared" si="103"/>
        <v>3.1E-2</v>
      </c>
      <c r="E282" s="21">
        <f t="shared" si="104"/>
        <v>6.2E-2</v>
      </c>
      <c r="F282" s="31"/>
      <c r="G282" s="99"/>
      <c r="H282" s="13"/>
      <c r="J282" s="26">
        <v>5.9</v>
      </c>
      <c r="K282" s="133">
        <v>6.2</v>
      </c>
      <c r="L282" s="5">
        <v>1</v>
      </c>
      <c r="M282" s="144" t="s">
        <v>97</v>
      </c>
      <c r="O282" s="52" t="s">
        <v>153</v>
      </c>
      <c r="P282" s="133">
        <v>6.2</v>
      </c>
      <c r="Q282" s="373">
        <v>6.5</v>
      </c>
      <c r="R282" s="192"/>
    </row>
    <row r="283" spans="2:18" hidden="1" x14ac:dyDescent="0.2">
      <c r="B283" s="90" t="s">
        <v>94</v>
      </c>
      <c r="C283"/>
      <c r="D283" s="46">
        <f t="shared" si="103"/>
        <v>6.3E-2</v>
      </c>
      <c r="E283" s="21">
        <f t="shared" si="104"/>
        <v>0.126</v>
      </c>
      <c r="F283" s="31"/>
      <c r="G283" s="99"/>
      <c r="H283" s="13"/>
      <c r="J283" s="26">
        <v>13.5</v>
      </c>
      <c r="K283" s="133">
        <v>12.6</v>
      </c>
      <c r="L283" s="5">
        <v>1</v>
      </c>
      <c r="M283" s="144" t="s">
        <v>97</v>
      </c>
      <c r="O283" s="52" t="s">
        <v>153</v>
      </c>
      <c r="P283" s="133">
        <v>12.6</v>
      </c>
      <c r="Q283" s="373"/>
      <c r="R283" s="192"/>
    </row>
    <row r="284" spans="2:18" hidden="1" x14ac:dyDescent="0.2">
      <c r="B284" s="90" t="s">
        <v>95</v>
      </c>
      <c r="C284"/>
      <c r="D284" s="46">
        <f t="shared" si="103"/>
        <v>7.85E-2</v>
      </c>
      <c r="E284" s="21">
        <f t="shared" si="104"/>
        <v>0.157</v>
      </c>
      <c r="F284" s="31"/>
      <c r="G284" s="99"/>
      <c r="H284" s="13"/>
      <c r="J284" s="26">
        <v>11.5</v>
      </c>
      <c r="K284" s="133">
        <v>15.7</v>
      </c>
      <c r="L284" s="5">
        <v>1</v>
      </c>
      <c r="M284" s="144" t="s">
        <v>97</v>
      </c>
      <c r="O284" s="52" t="s">
        <v>153</v>
      </c>
      <c r="P284" s="133">
        <v>15.7</v>
      </c>
      <c r="Q284" s="373"/>
      <c r="R284" s="192"/>
    </row>
    <row r="285" spans="2:18" hidden="1" x14ac:dyDescent="0.2">
      <c r="B285" s="90" t="s">
        <v>86</v>
      </c>
      <c r="C285"/>
      <c r="D285" s="46">
        <f t="shared" si="103"/>
        <v>0.03</v>
      </c>
      <c r="E285" s="21">
        <f t="shared" si="104"/>
        <v>0.06</v>
      </c>
      <c r="F285" s="31"/>
      <c r="G285" s="99"/>
      <c r="H285" s="13"/>
      <c r="J285" s="26">
        <v>5.5</v>
      </c>
      <c r="K285" s="52">
        <v>6</v>
      </c>
      <c r="L285" s="5">
        <v>1</v>
      </c>
      <c r="M285" s="144" t="s">
        <v>96</v>
      </c>
      <c r="O285" s="52">
        <v>6</v>
      </c>
      <c r="P285" s="133" t="s">
        <v>153</v>
      </c>
      <c r="Q285" s="373"/>
      <c r="R285" s="192"/>
    </row>
    <row r="286" spans="2:18" hidden="1" x14ac:dyDescent="0.2">
      <c r="B286" s="90" t="s">
        <v>87</v>
      </c>
      <c r="C286"/>
      <c r="D286" s="46">
        <f t="shared" si="103"/>
        <v>0.04</v>
      </c>
      <c r="E286" s="21">
        <f t="shared" si="104"/>
        <v>0.08</v>
      </c>
      <c r="F286" s="31"/>
      <c r="G286" s="99"/>
      <c r="H286" s="13"/>
      <c r="J286" s="26">
        <v>7.5</v>
      </c>
      <c r="K286" s="52">
        <v>8</v>
      </c>
      <c r="L286" s="5">
        <v>1</v>
      </c>
      <c r="M286" s="144" t="s">
        <v>96</v>
      </c>
      <c r="O286" s="52">
        <v>8</v>
      </c>
      <c r="P286" s="133" t="s">
        <v>153</v>
      </c>
      <c r="Q286" s="373"/>
      <c r="R286" s="192"/>
    </row>
    <row r="287" spans="2:18" hidden="1" x14ac:dyDescent="0.2">
      <c r="B287" s="90" t="s">
        <v>88</v>
      </c>
      <c r="C287"/>
      <c r="D287" s="46">
        <f t="shared" si="103"/>
        <v>3.5000000000000003E-2</v>
      </c>
      <c r="E287" s="21">
        <f t="shared" si="104"/>
        <v>7.0000000000000007E-2</v>
      </c>
      <c r="F287" s="31"/>
      <c r="G287" s="99"/>
      <c r="H287" s="13"/>
      <c r="J287" s="26">
        <v>7.5</v>
      </c>
      <c r="K287" s="52">
        <v>7</v>
      </c>
      <c r="L287" s="5">
        <v>1</v>
      </c>
      <c r="M287" s="144" t="s">
        <v>96</v>
      </c>
      <c r="O287" s="52">
        <v>7</v>
      </c>
      <c r="P287" s="133" t="s">
        <v>153</v>
      </c>
      <c r="Q287" s="373"/>
      <c r="R287" s="192"/>
    </row>
    <row r="288" spans="2:18" hidden="1" x14ac:dyDescent="0.2">
      <c r="B288" s="90" t="s">
        <v>89</v>
      </c>
      <c r="C288"/>
      <c r="D288" s="46">
        <f t="shared" si="103"/>
        <v>0.03</v>
      </c>
      <c r="E288" s="21">
        <f t="shared" si="104"/>
        <v>0.06</v>
      </c>
      <c r="F288" s="31"/>
      <c r="G288" s="99"/>
      <c r="H288" s="13"/>
      <c r="J288" s="26">
        <v>10.5</v>
      </c>
      <c r="K288" s="52">
        <v>6</v>
      </c>
      <c r="L288" s="5">
        <v>1</v>
      </c>
      <c r="M288" s="144" t="s">
        <v>96</v>
      </c>
      <c r="O288" s="52">
        <v>6</v>
      </c>
      <c r="P288" s="133" t="s">
        <v>153</v>
      </c>
      <c r="Q288" s="373"/>
      <c r="R288" s="192"/>
    </row>
    <row r="289" spans="2:18" hidden="1" x14ac:dyDescent="0.2">
      <c r="B289" s="90" t="s">
        <v>93</v>
      </c>
      <c r="C289"/>
      <c r="D289" s="46">
        <f t="shared" si="103"/>
        <v>3.5000000000000003E-2</v>
      </c>
      <c r="E289" s="21">
        <f t="shared" si="104"/>
        <v>7.0000000000000007E-2</v>
      </c>
      <c r="F289" s="31"/>
      <c r="G289" s="99"/>
      <c r="H289" s="13"/>
      <c r="J289" s="26">
        <v>11.5</v>
      </c>
      <c r="K289" s="52">
        <v>7</v>
      </c>
      <c r="L289" s="5">
        <v>1</v>
      </c>
      <c r="M289" s="144" t="s">
        <v>96</v>
      </c>
      <c r="O289" s="52">
        <v>7</v>
      </c>
      <c r="P289" s="133" t="s">
        <v>153</v>
      </c>
      <c r="Q289" s="373"/>
      <c r="R289" s="192"/>
    </row>
    <row r="290" spans="2:18" hidden="1" x14ac:dyDescent="0.2">
      <c r="B290" s="90" t="s">
        <v>156</v>
      </c>
      <c r="C290"/>
      <c r="D290" s="46">
        <f t="shared" si="103"/>
        <v>2.5000000000000001E-2</v>
      </c>
      <c r="E290" s="21">
        <f t="shared" si="104"/>
        <v>0.05</v>
      </c>
      <c r="F290" s="31"/>
      <c r="G290" s="99"/>
      <c r="H290" s="13"/>
      <c r="J290" s="26">
        <v>5.5</v>
      </c>
      <c r="K290" s="52">
        <v>5</v>
      </c>
      <c r="L290" s="5">
        <v>1</v>
      </c>
      <c r="M290" s="144" t="s">
        <v>96</v>
      </c>
      <c r="O290" s="52">
        <v>5</v>
      </c>
      <c r="P290" s="133" t="s">
        <v>153</v>
      </c>
      <c r="Q290" s="373"/>
      <c r="R290" s="192"/>
    </row>
    <row r="291" spans="2:18" hidden="1" x14ac:dyDescent="0.2">
      <c r="B291" s="90" t="s">
        <v>157</v>
      </c>
      <c r="C291"/>
      <c r="D291" s="46">
        <f t="shared" si="103"/>
        <v>0.03</v>
      </c>
      <c r="E291" s="21">
        <f t="shared" si="104"/>
        <v>0.06</v>
      </c>
      <c r="F291" s="31"/>
      <c r="G291" s="99"/>
      <c r="H291" s="13"/>
      <c r="J291" s="26">
        <v>9.5</v>
      </c>
      <c r="K291" s="52">
        <v>6</v>
      </c>
      <c r="L291" s="5">
        <v>1</v>
      </c>
      <c r="M291" s="144" t="s">
        <v>96</v>
      </c>
      <c r="O291" s="52">
        <v>6</v>
      </c>
      <c r="P291" s="133" t="s">
        <v>155</v>
      </c>
      <c r="Q291" s="373"/>
      <c r="R291" s="192"/>
    </row>
    <row r="292" spans="2:18" hidden="1" x14ac:dyDescent="0.2">
      <c r="B292" s="90" t="s">
        <v>90</v>
      </c>
      <c r="C292"/>
      <c r="D292" s="46">
        <f t="shared" si="103"/>
        <v>4.4999999999999998E-2</v>
      </c>
      <c r="E292" s="21">
        <f t="shared" si="104"/>
        <v>0.09</v>
      </c>
      <c r="F292" s="31"/>
      <c r="G292" s="99"/>
      <c r="H292" s="13"/>
      <c r="J292" s="26">
        <v>10.5</v>
      </c>
      <c r="K292" s="52">
        <v>9</v>
      </c>
      <c r="L292" s="5">
        <v>1</v>
      </c>
      <c r="M292" s="144" t="s">
        <v>96</v>
      </c>
      <c r="O292" s="52">
        <v>9</v>
      </c>
      <c r="P292" s="133" t="s">
        <v>153</v>
      </c>
      <c r="Q292" s="373"/>
      <c r="R292" s="192"/>
    </row>
    <row r="293" spans="2:18" hidden="1" x14ac:dyDescent="0.2">
      <c r="B293" s="90" t="s">
        <v>91</v>
      </c>
      <c r="C293"/>
      <c r="D293" s="46">
        <f t="shared" si="103"/>
        <v>0.04</v>
      </c>
      <c r="E293" s="21">
        <f t="shared" si="104"/>
        <v>0.08</v>
      </c>
      <c r="F293" s="31"/>
      <c r="G293" s="99"/>
      <c r="H293" s="13"/>
      <c r="J293" s="26">
        <v>8.5</v>
      </c>
      <c r="K293" s="52">
        <v>8</v>
      </c>
      <c r="L293" s="5">
        <v>1</v>
      </c>
      <c r="M293" s="144" t="s">
        <v>96</v>
      </c>
      <c r="O293" s="52">
        <v>8</v>
      </c>
      <c r="P293" s="133" t="s">
        <v>153</v>
      </c>
      <c r="Q293" s="373"/>
      <c r="R293" s="192"/>
    </row>
    <row r="294" spans="2:18" hidden="1" x14ac:dyDescent="0.2">
      <c r="B294" s="90" t="s">
        <v>92</v>
      </c>
      <c r="C294"/>
      <c r="D294" s="46">
        <f t="shared" si="103"/>
        <v>0.04</v>
      </c>
      <c r="E294" s="21">
        <f t="shared" si="104"/>
        <v>0.08</v>
      </c>
      <c r="F294" s="31"/>
      <c r="G294" s="99"/>
      <c r="H294" s="13"/>
      <c r="J294" s="26">
        <v>15.5</v>
      </c>
      <c r="K294" s="52">
        <v>8</v>
      </c>
      <c r="L294" s="5">
        <v>1</v>
      </c>
      <c r="M294" s="144" t="s">
        <v>96</v>
      </c>
      <c r="O294" s="52">
        <v>8</v>
      </c>
      <c r="P294" s="133" t="s">
        <v>153</v>
      </c>
      <c r="Q294" s="373"/>
      <c r="R294" s="192"/>
    </row>
    <row r="295" spans="2:18" hidden="1" x14ac:dyDescent="0.2">
      <c r="B295" s="90" t="s">
        <v>415</v>
      </c>
      <c r="C295"/>
      <c r="D295" s="46">
        <f t="shared" si="103"/>
        <v>0</v>
      </c>
      <c r="E295" s="21">
        <f t="shared" si="104"/>
        <v>0</v>
      </c>
      <c r="F295" s="31"/>
      <c r="G295" s="99"/>
      <c r="H295" s="13"/>
      <c r="J295" s="26">
        <v>12.5</v>
      </c>
      <c r="K295" s="374">
        <v>0</v>
      </c>
      <c r="L295" s="5">
        <v>1</v>
      </c>
      <c r="M295" s="144" t="s">
        <v>96</v>
      </c>
      <c r="O295" s="52">
        <v>8</v>
      </c>
      <c r="P295" s="133" t="s">
        <v>153</v>
      </c>
      <c r="Q295" s="373"/>
      <c r="R295" s="192"/>
    </row>
    <row r="296" spans="2:18" hidden="1" x14ac:dyDescent="0.2">
      <c r="B296" s="90" t="s">
        <v>416</v>
      </c>
      <c r="C296"/>
      <c r="D296" s="46">
        <f t="shared" si="103"/>
        <v>0</v>
      </c>
      <c r="E296" s="21">
        <f t="shared" si="104"/>
        <v>0</v>
      </c>
      <c r="F296" s="31"/>
      <c r="G296" s="99"/>
      <c r="H296" s="13"/>
      <c r="J296" s="26">
        <v>22</v>
      </c>
      <c r="K296" s="213">
        <v>0</v>
      </c>
      <c r="L296" s="5">
        <v>1</v>
      </c>
      <c r="O296" s="52"/>
      <c r="P296" s="133"/>
      <c r="Q296" s="373"/>
      <c r="R296" s="192"/>
    </row>
    <row r="297" spans="2:18" ht="13.5" hidden="1" thickBot="1" x14ac:dyDescent="0.25">
      <c r="B297" s="109" t="s">
        <v>85</v>
      </c>
      <c r="C297" s="110"/>
      <c r="D297" s="111">
        <f t="shared" si="103"/>
        <v>6.3E-2</v>
      </c>
      <c r="E297" s="112">
        <f t="shared" si="104"/>
        <v>0.126</v>
      </c>
      <c r="F297" s="113"/>
      <c r="G297" s="114"/>
      <c r="H297" s="13"/>
      <c r="J297" s="26">
        <v>14</v>
      </c>
      <c r="K297" s="133">
        <v>12.6</v>
      </c>
      <c r="L297" s="5">
        <v>1</v>
      </c>
      <c r="M297" s="1" t="s">
        <v>97</v>
      </c>
      <c r="O297" s="52"/>
      <c r="P297" s="133">
        <v>12.6</v>
      </c>
      <c r="Q297" s="373"/>
      <c r="R297" s="192"/>
    </row>
    <row r="298" spans="2:18" hidden="1" x14ac:dyDescent="0.2"/>
    <row r="299" spans="2:18" hidden="1" x14ac:dyDescent="0.2"/>
    <row r="300" spans="2:18" ht="19.899999999999999" hidden="1" customHeight="1" x14ac:dyDescent="0.2"/>
    <row r="301" spans="2:18" ht="19.899999999999999" hidden="1" customHeight="1" x14ac:dyDescent="0.2"/>
    <row r="302" spans="2:18" ht="19.899999999999999" hidden="1" customHeight="1" x14ac:dyDescent="0.2"/>
    <row r="303" spans="2:18" ht="19.899999999999999" hidden="1" customHeight="1" x14ac:dyDescent="0.2"/>
    <row r="304" spans="2:18" ht="19.899999999999999" hidden="1" customHeight="1" x14ac:dyDescent="0.2"/>
    <row r="305" ht="19.899999999999999" customHeight="1" x14ac:dyDescent="0.2"/>
    <row r="306" ht="22.15" customHeight="1" x14ac:dyDescent="0.2"/>
  </sheetData>
  <sheetProtection algorithmName="SHA-512" hashValue="bdtPuxPTKbYL+smPfe7aq1q/mCcrTI93TQ9RJJFtkdagGw6ZrlaorMcKbreQQWoFfrFrMHBwn/T9L4gum/G31Q==" saltValue="xUfPsmtdYfxJL4NkaFigKQ==" spinCount="100000" sheet="1" objects="1" scenarios="1"/>
  <protectedRanges>
    <protectedRange sqref="G2 B23:C23" name="Intervallo1"/>
    <protectedRange sqref="B5:B7 B18:B19 B11:B14" name="Intervallo1_2"/>
  </protectedRanges>
  <mergeCells count="1">
    <mergeCell ref="B2:D2"/>
  </mergeCells>
  <phoneticPr fontId="10" type="noConversion"/>
  <dataValidations count="10">
    <dataValidation type="list" allowBlank="1" showInputMessage="1" showErrorMessage="1" sqref="B11" xr:uid="{00000000-0002-0000-0000-000000000000}">
      <formula1>$B$27:$B$157</formula1>
    </dataValidation>
    <dataValidation type="list" allowBlank="1" showInputMessage="1" showErrorMessage="1" sqref="B18" xr:uid="{00000000-0002-0000-0000-000001000000}">
      <formula1>$B$275:$B$297</formula1>
    </dataValidation>
    <dataValidation type="list" allowBlank="1" showInputMessage="1" showErrorMessage="1" sqref="B19" xr:uid="{00000000-0002-0000-0000-000002000000}">
      <formula1>$B$270:$B$272</formula1>
    </dataValidation>
    <dataValidation type="list" allowBlank="1" showInputMessage="1" showErrorMessage="1" sqref="B6" xr:uid="{00000000-0002-0000-0000-000003000000}">
      <formula1>$B$263:$B$264</formula1>
    </dataValidation>
    <dataValidation type="list" allowBlank="1" showInputMessage="1" showErrorMessage="1" sqref="B7" xr:uid="{00000000-0002-0000-0000-000004000000}">
      <formula1>$B$266:$B$268</formula1>
    </dataValidation>
    <dataValidation type="list" allowBlank="1" showInputMessage="1" showErrorMessage="1" sqref="B5" xr:uid="{00000000-0002-0000-0000-000005000000}">
      <formula1>$B$258:$B$261</formula1>
    </dataValidation>
    <dataValidation type="list" allowBlank="1" showInputMessage="1" showErrorMessage="1" sqref="B13" xr:uid="{00000000-0002-0000-0000-000006000000}">
      <formula1>$B$168:$B$247</formula1>
    </dataValidation>
    <dataValidation type="list" allowBlank="1" showInputMessage="1" showErrorMessage="1" sqref="B23" xr:uid="{00000000-0002-0000-0000-000007000000}">
      <formula1>$B$159:$B$166</formula1>
    </dataValidation>
    <dataValidation type="list" allowBlank="1" showInputMessage="1" showErrorMessage="1" sqref="B12" xr:uid="{00000000-0002-0000-0000-000008000000}">
      <formula1>$B$252:$B$256</formula1>
    </dataValidation>
    <dataValidation type="list" allowBlank="1" showInputMessage="1" showErrorMessage="1" sqref="B14" xr:uid="{00000000-0002-0000-0000-000009000000}">
      <formula1>$B$248:$B$250</formula1>
    </dataValidation>
  </dataValidations>
  <printOptions horizontalCentered="1"/>
  <pageMargins left="0" right="0" top="1.06" bottom="0" header="0.31496062992125984" footer="0"/>
  <pageSetup paperSize="9" scale="80" orientation="portrait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simulatore (Listino)</vt:lpstr>
      <vt:lpstr>'simulatore (Listino)'!Area_stampa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lorenzo.greco</dc:creator>
  <cp:lastModifiedBy>office user1</cp:lastModifiedBy>
  <cp:lastPrinted>2022-02-04T16:23:42Z</cp:lastPrinted>
  <dcterms:created xsi:type="dcterms:W3CDTF">2020-12-04T12:06:01Z</dcterms:created>
  <dcterms:modified xsi:type="dcterms:W3CDTF">2025-02-26T14:10:18Z</dcterms:modified>
</cp:coreProperties>
</file>